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LotMaintenance 2.xls" sheetId="1" r:id="rId1"/>
    <sheet name="12994646" sheetId="2" r:id="rId2"/>
    <sheet name="12990570" sheetId="3" r:id="rId3"/>
    <sheet name="12976065" sheetId="4" r:id="rId4"/>
    <sheet name="13011840" sheetId="5" r:id="rId5"/>
    <sheet name="12978166" sheetId="6" r:id="rId6"/>
    <sheet name="12976050" sheetId="8" r:id="rId7"/>
    <sheet name="12988392" sheetId="9" r:id="rId8"/>
    <sheet name="13007171" sheetId="10" r:id="rId9"/>
    <sheet name="12976124" sheetId="11" r:id="rId10"/>
    <sheet name="12994425" sheetId="12" r:id="rId11"/>
    <sheet name="12705465" sheetId="13" r:id="rId12"/>
    <sheet name="13012978" sheetId="14" r:id="rId13"/>
    <sheet name="12978126" sheetId="15" r:id="rId14"/>
    <sheet name="12993437" sheetId="16" r:id="rId15"/>
    <sheet name="12999421" sheetId="17" r:id="rId16"/>
    <sheet name="13006904" sheetId="18" r:id="rId17"/>
    <sheet name="13006800" sheetId="20" r:id="rId18"/>
    <sheet name="12704401" sheetId="21" r:id="rId19"/>
    <sheet name="13006795" sheetId="23" r:id="rId20"/>
    <sheet name="12971230" sheetId="24" r:id="rId21"/>
    <sheet name="12971109" sheetId="29" r:id="rId22"/>
    <sheet name="12994002" sheetId="30" r:id="rId23"/>
    <sheet name="12990178" sheetId="31" r:id="rId24"/>
    <sheet name="12971571" sheetId="32" r:id="rId25"/>
  </sheets>
  <calcPr calcId="145621"/>
</workbook>
</file>

<file path=xl/calcChain.xml><?xml version="1.0" encoding="utf-8"?>
<calcChain xmlns="http://schemas.openxmlformats.org/spreadsheetml/2006/main">
  <c r="E26" i="1" l="1"/>
  <c r="R36" i="32"/>
  <c r="R35" i="32"/>
  <c r="R34" i="32"/>
  <c r="R33" i="32"/>
  <c r="R32" i="32"/>
  <c r="R31" i="32"/>
  <c r="R30" i="32"/>
  <c r="R29" i="32"/>
  <c r="R28" i="32"/>
  <c r="R27" i="32"/>
  <c r="R26" i="32"/>
  <c r="R25" i="32"/>
  <c r="R24" i="32"/>
  <c r="R23" i="32"/>
  <c r="R22" i="32"/>
  <c r="R21" i="32"/>
  <c r="R20" i="32"/>
  <c r="R19" i="32"/>
  <c r="R18" i="32"/>
  <c r="R17" i="32"/>
  <c r="R16" i="32"/>
  <c r="R15" i="32"/>
  <c r="R14" i="32"/>
  <c r="R13" i="32"/>
  <c r="R12" i="32"/>
  <c r="R11" i="32"/>
  <c r="R10" i="32"/>
  <c r="R9" i="32"/>
  <c r="R8" i="32"/>
  <c r="R7" i="32"/>
  <c r="R6" i="32"/>
  <c r="R5" i="32"/>
  <c r="R4" i="32"/>
  <c r="R3" i="32"/>
  <c r="R2" i="32"/>
  <c r="R63" i="30"/>
  <c r="R62" i="30"/>
  <c r="R61" i="30"/>
  <c r="R60" i="30"/>
  <c r="R59" i="30"/>
  <c r="R58" i="30"/>
  <c r="R57" i="30"/>
  <c r="R56" i="30"/>
  <c r="R55" i="30"/>
  <c r="R54" i="30"/>
  <c r="R53" i="30"/>
  <c r="R52" i="30"/>
  <c r="R51" i="30"/>
  <c r="R50" i="30"/>
  <c r="R49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R6" i="30"/>
  <c r="R5" i="30"/>
  <c r="R4" i="30"/>
  <c r="R3" i="30"/>
  <c r="R2" i="30"/>
  <c r="R62" i="31"/>
  <c r="R61" i="31"/>
  <c r="R60" i="31"/>
  <c r="R59" i="31"/>
  <c r="R58" i="31"/>
  <c r="R57" i="31"/>
  <c r="R56" i="31"/>
  <c r="R55" i="31"/>
  <c r="R54" i="31"/>
  <c r="R53" i="31"/>
  <c r="R52" i="31"/>
  <c r="R51" i="31"/>
  <c r="R50" i="31"/>
  <c r="R49" i="31"/>
  <c r="R48" i="31"/>
  <c r="R47" i="31"/>
  <c r="R46" i="31"/>
  <c r="R45" i="31"/>
  <c r="R44" i="31"/>
  <c r="R43" i="31"/>
  <c r="R42" i="31"/>
  <c r="R41" i="31"/>
  <c r="R40" i="31"/>
  <c r="R39" i="31"/>
  <c r="R38" i="31"/>
  <c r="R37" i="31"/>
  <c r="R36" i="31"/>
  <c r="R35" i="31"/>
  <c r="R34" i="31"/>
  <c r="R33" i="31"/>
  <c r="R32" i="31"/>
  <c r="R31" i="31"/>
  <c r="R30" i="31"/>
  <c r="R29" i="31"/>
  <c r="R28" i="31"/>
  <c r="R27" i="31"/>
  <c r="R26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R9" i="31"/>
  <c r="R8" i="31"/>
  <c r="R7" i="31"/>
  <c r="R6" i="31"/>
  <c r="R5" i="31"/>
  <c r="R4" i="31"/>
  <c r="R3" i="31"/>
  <c r="R2" i="31"/>
  <c r="R49" i="29"/>
  <c r="R48" i="29"/>
  <c r="R47" i="29"/>
  <c r="R46" i="29"/>
  <c r="R45" i="29"/>
  <c r="R44" i="29"/>
  <c r="R43" i="29"/>
  <c r="R42" i="29"/>
  <c r="R41" i="29"/>
  <c r="R40" i="29"/>
  <c r="R39" i="29"/>
  <c r="R38" i="29"/>
  <c r="R37" i="29"/>
  <c r="R36" i="29"/>
  <c r="R35" i="29"/>
  <c r="R34" i="29"/>
  <c r="R33" i="29"/>
  <c r="R3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14" i="29"/>
  <c r="R13" i="29"/>
  <c r="R12" i="29"/>
  <c r="R11" i="29"/>
  <c r="R10" i="29"/>
  <c r="R9" i="29"/>
  <c r="R8" i="29"/>
  <c r="R7" i="29"/>
  <c r="R6" i="29"/>
  <c r="R5" i="29"/>
  <c r="R4" i="29"/>
  <c r="R3" i="29"/>
  <c r="R2" i="29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R9" i="24"/>
  <c r="R8" i="24"/>
  <c r="R7" i="24"/>
  <c r="R6" i="24"/>
  <c r="R5" i="24"/>
  <c r="R4" i="24"/>
  <c r="R3" i="24"/>
  <c r="R2" i="24"/>
  <c r="R44" i="23"/>
  <c r="R43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R2" i="23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R2" i="21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2" i="20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2" i="18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2" i="17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R2" i="16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R2" i="13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R2" i="14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R2" i="12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R2" i="11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R2" i="10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R2" i="9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R2" i="6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F26" i="1"/>
  <c r="D26" i="1"/>
</calcChain>
</file>

<file path=xl/sharedStrings.xml><?xml version="1.0" encoding="utf-8"?>
<sst xmlns="http://schemas.openxmlformats.org/spreadsheetml/2006/main" count="8491" uniqueCount="2976">
  <si>
    <t>C10-5DV-FUQU-IN-MULT</t>
  </si>
  <si>
    <t>96675700963</t>
  </si>
  <si>
    <t>ALOE VERA MF PILLOW</t>
  </si>
  <si>
    <t>86569947611</t>
  </si>
  <si>
    <t>SOLANDIS 21X24 RUG BLUE</t>
  </si>
  <si>
    <t>MP72-5192</t>
  </si>
  <si>
    <t>24"X21"</t>
  </si>
  <si>
    <t>170GSM COTTON, TUFTED</t>
  </si>
  <si>
    <t>732998074304</t>
  </si>
  <si>
    <t>SILKY SATIN EURO BASIC</t>
  </si>
  <si>
    <t>100064584ER</t>
  </si>
  <si>
    <t>636193831321</t>
  </si>
  <si>
    <t>DMSK QLTD CVRLT EU HOR</t>
  </si>
  <si>
    <t>DSKQLTCEUHZ</t>
  </si>
  <si>
    <t>675716665821</t>
  </si>
  <si>
    <t>MP RUCHEDFUR 20X20 PL RD</t>
  </si>
  <si>
    <t>MP30-1865</t>
  </si>
  <si>
    <t>FAUX-FUR FACE: POLYESTER 220 GRAMS PER SQUARE METER; FAUX-FUR REVERSE: POLYESTER 180 GRAMS PER SQUARE METER; POLYESTER FILL</t>
  </si>
  <si>
    <t>732995096057</t>
  </si>
  <si>
    <t>PINEAPPLE COLL SHAM</t>
  </si>
  <si>
    <t>100047327ST</t>
  </si>
  <si>
    <t>21864284764</t>
  </si>
  <si>
    <t>AVANTI PREM SCPT "A" GRABASIC</t>
  </si>
  <si>
    <t>2252-A BATH</t>
  </si>
  <si>
    <t>WB STRIPE ER SHAM BASIC</t>
  </si>
  <si>
    <t>29927435139</t>
  </si>
  <si>
    <t>CM LICHTENBERG SUN ZERO BASIC</t>
  </si>
  <si>
    <t>675716932916</t>
  </si>
  <si>
    <t>AMHERST 50X18 WV GY</t>
  </si>
  <si>
    <t>MP41-4377</t>
  </si>
  <si>
    <t>732997452349</t>
  </si>
  <si>
    <t>SILKY SATIN SHAM BASIC</t>
  </si>
  <si>
    <t>100064584ST</t>
  </si>
  <si>
    <t>96675210004</t>
  </si>
  <si>
    <t>U-NECK TRAVEL PLW</t>
  </si>
  <si>
    <t>FABRIC: POLYESTER; FILL: MEMORY FOAM</t>
  </si>
  <si>
    <t>608381466868</t>
  </si>
  <si>
    <t>LUSH EMB IVY SHAM</t>
  </si>
  <si>
    <t>LUSHEMIVST</t>
  </si>
  <si>
    <t>732994215756</t>
  </si>
  <si>
    <t>SPICE PAISLEY EURO SHAM</t>
  </si>
  <si>
    <t>100022744ER</t>
  </si>
  <si>
    <t>FABRIC: PIMA COTTON</t>
  </si>
  <si>
    <t>814945024454</t>
  </si>
  <si>
    <t>DUST RUFFLE CREAM QU</t>
  </si>
  <si>
    <t>1606BS-CRM-QK</t>
  </si>
  <si>
    <t>DE MOOCCI/ORIENT HOME COLLECTION</t>
  </si>
  <si>
    <t>706258050995</t>
  </si>
  <si>
    <t>DMSK 550 STH CTN</t>
  </si>
  <si>
    <t>DLLSTSTHCTN</t>
  </si>
  <si>
    <t>885308377852</t>
  </si>
  <si>
    <t>CADENZA MICROFIBER PANELBASIC</t>
  </si>
  <si>
    <t>15110080X084NVY</t>
  </si>
  <si>
    <t>746885373869</t>
  </si>
  <si>
    <t>BLAC PRESTON RP 108"PNLBASIC</t>
  </si>
  <si>
    <t>WC703444059108</t>
  </si>
  <si>
    <t>885308472526</t>
  </si>
  <si>
    <t>DARRELL THERMAWEAVE BASIC</t>
  </si>
  <si>
    <t>16205037084CRL</t>
  </si>
  <si>
    <t>732994103534</t>
  </si>
  <si>
    <t>CC DOT HAND</t>
  </si>
  <si>
    <t>CCDOTH</t>
  </si>
  <si>
    <t>726895142631</t>
  </si>
  <si>
    <t>HAND HMC MING LAKE BASIC</t>
  </si>
  <si>
    <t>848742028995</t>
  </si>
  <si>
    <t>BOHO STRIPE COMFORTERS T</t>
  </si>
  <si>
    <t>C28995P14-000</t>
  </si>
  <si>
    <t>675716585563</t>
  </si>
  <si>
    <t>MP QUEBEC CVSET K/CK WT</t>
  </si>
  <si>
    <t>MP13-1372</t>
  </si>
  <si>
    <t>672225324256</t>
  </si>
  <si>
    <t>RED KING</t>
  </si>
  <si>
    <t>P-21297-K</t>
  </si>
  <si>
    <t>ZURI F/Q TAN COMF SET BASIC</t>
  </si>
  <si>
    <t>608381466851</t>
  </si>
  <si>
    <t>LUSH EMB IVY QN BDSP</t>
  </si>
  <si>
    <t>LUSHEMIVQN</t>
  </si>
  <si>
    <t>675716585549</t>
  </si>
  <si>
    <t>MP QUEBEC CVSET F/Q WT</t>
  </si>
  <si>
    <t>MP13-1371</t>
  </si>
  <si>
    <t>86569004864</t>
  </si>
  <si>
    <t>LYNDA COMFORTER SET BASIC</t>
  </si>
  <si>
    <t>5DS10-0048</t>
  </si>
  <si>
    <t>788904801953</t>
  </si>
  <si>
    <t>SE003025</t>
  </si>
  <si>
    <t>635983499604</t>
  </si>
  <si>
    <t>OVERSTUFFED LUXURY P BASIC</t>
  </si>
  <si>
    <t>BMI10191L2Q</t>
  </si>
  <si>
    <t>635983501734</t>
  </si>
  <si>
    <t>BEST LUXURY PLUSH TU BASIC</t>
  </si>
  <si>
    <t>BMI5283L-IYS</t>
  </si>
  <si>
    <t>840008312367</t>
  </si>
  <si>
    <t>LUDC2GELMFMATTOPTWIN</t>
  </si>
  <si>
    <t>DC20TT30GT</t>
  </si>
  <si>
    <t>675716505820</t>
  </si>
  <si>
    <t>ID SENNA F/Q ORG CS</t>
  </si>
  <si>
    <t>ID10-002</t>
  </si>
  <si>
    <t>86569040510</t>
  </si>
  <si>
    <t>COLE COMF SET GY F/Q</t>
  </si>
  <si>
    <t>UH10-2190</t>
  </si>
  <si>
    <t>COMFORTER/SHAM - 150GSM COTTON, POLYESTER JERSEY KNIT FABRIC, COMFORTER FILL - POLYESTER</t>
  </si>
  <si>
    <t>675716866198</t>
  </si>
  <si>
    <t>ASHTON K/CK 4PC COMF SET</t>
  </si>
  <si>
    <t>MZ10-508</t>
  </si>
  <si>
    <t>COMFORTER/SHAM/DECORATIVE PILLOW: 100% POLYESTER MICROFIBER; COMFORTER/DECORATIVE PILLOW FILLING: 100% POLYESTER</t>
  </si>
  <si>
    <t>810026173295</t>
  </si>
  <si>
    <t>TV PILLOW</t>
  </si>
  <si>
    <t>CC-TVPLXL-GRY</t>
  </si>
  <si>
    <t>MICROPLUSH</t>
  </si>
  <si>
    <t>783048091932</t>
  </si>
  <si>
    <t>TS KURT FQ CS</t>
  </si>
  <si>
    <t>CS3058FQ-1500</t>
  </si>
  <si>
    <t>96675805156</t>
  </si>
  <si>
    <t>800014135848</t>
  </si>
  <si>
    <t>ALBA 7 PIECE COMFORT SETBASIC</t>
  </si>
  <si>
    <t>17371703AA</t>
  </si>
  <si>
    <t>ELLISON FIRST ASIA LLC</t>
  </si>
  <si>
    <t>810001363260</t>
  </si>
  <si>
    <t>WB-COM-SND-Q</t>
  </si>
  <si>
    <t>WB-COM-Q</t>
  </si>
  <si>
    <t>783048031433</t>
  </si>
  <si>
    <t>TSE BFLO PLD KHAK FQ CMS</t>
  </si>
  <si>
    <t>CS2093KHFQ-1500</t>
  </si>
  <si>
    <t>FACE AND BACK CLOTH ARE PRINTED 100% MICROFIBER POLYESTER WITH POLYESTER FIBER FILLING.</t>
  </si>
  <si>
    <t>675716405915</t>
  </si>
  <si>
    <t>MP LIQ COTTON FQ BLK WT BASIC</t>
  </si>
  <si>
    <t>BL51N-0612</t>
  </si>
  <si>
    <t>675716575786</t>
  </si>
  <si>
    <t>NADIA F/Q 5PC DUV SET BASIC</t>
  </si>
  <si>
    <t>ID12-229</t>
  </si>
  <si>
    <t>FABRIC: POLYESTER; PILLOW FILL: POLYESTER</t>
  </si>
  <si>
    <t>675716714765</t>
  </si>
  <si>
    <t>SARATOGA 50X108 PNL KHAK</t>
  </si>
  <si>
    <t>MP40-2410</t>
  </si>
  <si>
    <t>28828327086</t>
  </si>
  <si>
    <t>SOLID MF REVER CMSTS</t>
  </si>
  <si>
    <t>AYTZ327086</t>
  </si>
  <si>
    <t>54006623138</t>
  </si>
  <si>
    <t>HALLEY 56X84 MV</t>
  </si>
  <si>
    <t>HLPN84MV06</t>
  </si>
  <si>
    <t>706255660289</t>
  </si>
  <si>
    <t>MSDS HOTWATER MPRO F BASIC</t>
  </si>
  <si>
    <t>100057313FU</t>
  </si>
  <si>
    <t>RFMATTRESS</t>
  </si>
  <si>
    <t>POLYESTER/NYLON; BACK: POLYETHYLENE LAMINATE</t>
  </si>
  <si>
    <t>29927473735</t>
  </si>
  <si>
    <t>STON CURTAIN BASIC</t>
  </si>
  <si>
    <t>86569150509</t>
  </si>
  <si>
    <t>RAINA 50X84 PANEL IV BASIC</t>
  </si>
  <si>
    <t>ID40-1614</t>
  </si>
  <si>
    <t>675716976774</t>
  </si>
  <si>
    <t>MP QUEBEC 20X20 PL NY</t>
  </si>
  <si>
    <t>MP30-4648</t>
  </si>
  <si>
    <t>732996354637</t>
  </si>
  <si>
    <t>FUR FRINGE THROW GR</t>
  </si>
  <si>
    <t>MMG-MARTHA STEWART-EDI/SAMANTHA</t>
  </si>
  <si>
    <t>675716714680</t>
  </si>
  <si>
    <t>SARATOGA 50X84 PNL KHAKI</t>
  </si>
  <si>
    <t>MP40-2408</t>
  </si>
  <si>
    <t>858300019341</t>
  </si>
  <si>
    <t>IMAN WHITE/BLACK V</t>
  </si>
  <si>
    <t>U19341Q11</t>
  </si>
  <si>
    <t>675716775537</t>
  </si>
  <si>
    <t>II REEVE THROW NV BASIC</t>
  </si>
  <si>
    <t>II50-721</t>
  </si>
  <si>
    <t>810026171178</t>
  </si>
  <si>
    <t>BODY PILLOW</t>
  </si>
  <si>
    <t>CC-ADP-20X54</t>
  </si>
  <si>
    <t>86569018014</t>
  </si>
  <si>
    <t>BROOKLYN 50X18 WV GY</t>
  </si>
  <si>
    <t>UH40-2180</t>
  </si>
  <si>
    <t>675716791155</t>
  </si>
  <si>
    <t>PC PARKER 20X20 PL IY</t>
  </si>
  <si>
    <t>BASI30-0433</t>
  </si>
  <si>
    <t>675716791131</t>
  </si>
  <si>
    <t>PC PARKER 20X20 PL BRN</t>
  </si>
  <si>
    <t>BASI30-0431</t>
  </si>
  <si>
    <t>29927459975</t>
  </si>
  <si>
    <t>GRANT RM DARK CURTAI BASIC</t>
  </si>
  <si>
    <t>885308637604</t>
  </si>
  <si>
    <t>MONTANA PANEL PAIR BASIC</t>
  </si>
  <si>
    <t>15999060X095WHI</t>
  </si>
  <si>
    <t>21864347810</t>
  </si>
  <si>
    <t>AVANTI DOTTED CIR LINENBASIC</t>
  </si>
  <si>
    <t>038701LIN</t>
  </si>
  <si>
    <t>675716841386</t>
  </si>
  <si>
    <t>SARATOGA 50X18 VLC BG/GD</t>
  </si>
  <si>
    <t>MP41-3601</t>
  </si>
  <si>
    <t>FABRIC: POLYESTER/COTTON/RAYON</t>
  </si>
  <si>
    <t>732997796740</t>
  </si>
  <si>
    <t>732996342153</t>
  </si>
  <si>
    <t>DEC 18X18 FLORAL PK BASIC</t>
  </si>
  <si>
    <t>MMG-MARTHA STEWART-EDI/SUNHAM HOME</t>
  </si>
  <si>
    <t>755615146215</t>
  </si>
  <si>
    <t>MC PRESTON LINEN 63'' BASIC</t>
  </si>
  <si>
    <t>63 SGL</t>
  </si>
  <si>
    <t>885308251770</t>
  </si>
  <si>
    <t>CURTAINFRESH TIER AND VABASIC</t>
  </si>
  <si>
    <t>13297056X036IVY</t>
  </si>
  <si>
    <t>36 DOORPAN</t>
  </si>
  <si>
    <t>21864348039</t>
  </si>
  <si>
    <t>038703LIN</t>
  </si>
  <si>
    <t>83013128596</t>
  </si>
  <si>
    <t>Croscill Croscill Janine 4 Piece King Blue King</t>
  </si>
  <si>
    <t>2A0-004C0-9001</t>
  </si>
  <si>
    <t>675716748210</t>
  </si>
  <si>
    <t>Madison Park Essentials Essentials Jelena King 24-Pc. Seafoam King</t>
  </si>
  <si>
    <t>MPE10-230</t>
  </si>
  <si>
    <t>885308063748</t>
  </si>
  <si>
    <t>Waverly Imperial Dress Porcelain 4pc K Porcelain King</t>
  </si>
  <si>
    <t>10168KINGPO</t>
  </si>
  <si>
    <t>86569014962</t>
  </si>
  <si>
    <t>Madison Park Lola Cotton 7-Pc. King Comfort GreyBlush King</t>
  </si>
  <si>
    <t>MP10-5671</t>
  </si>
  <si>
    <t>679610803235</t>
  </si>
  <si>
    <t>Riverbrook Home Beren 7 PC King Comforter Set Bluetanivory King</t>
  </si>
  <si>
    <t>675716780753</t>
  </si>
  <si>
    <t>Woolrich Sunset Reversible 3-Pc. Oversi Red FullQueen</t>
  </si>
  <si>
    <t>WR14-1730</t>
  </si>
  <si>
    <t>QUILT AND SHAMS: COTTON; QUILT FILL: COTTON/POLYESTER/OTHER FIBER 250GSM</t>
  </si>
  <si>
    <t>675716407247</t>
  </si>
  <si>
    <t>Madison Park Jackson Blocks 7-Pc. Queen Com Red Queen</t>
  </si>
  <si>
    <t>MP10-283</t>
  </si>
  <si>
    <t>COMFORTER/SHAM/PILLOW/BEDSKIRT (DROP): POLYESTER (FAUX SUEDE); BEDSKIRT (PLATFORM): POLYPROPYLENE; COMFORTER FILL: POLYESTER 270 GRAMS PER SQUARE METER; PILLOW FILL: POLYESTER</t>
  </si>
  <si>
    <t>675716904883</t>
  </si>
  <si>
    <t>Urban Habitat Brooklyn Cotton 5-Pc. TwinTwi Ivory TwinTwin XL</t>
  </si>
  <si>
    <t>UH10-0198</t>
  </si>
  <si>
    <t>COMFORTER/SHAM: COTTON JACQUARD FACE THREAD COUNT: 140; COTTON REVERSE THREAD COUNT: 144DECORATIVE PILLOW: COTTON PERCALE THREAD COUNT: 144 EUROPEAN SHAM: COTTON WITH QUILTING TOP THREAD COUNT: 144 COMFORTER/PILLOW FILL: POLYESTER</t>
  </si>
  <si>
    <t>Martha Stewart Collection Satin Twin Quilt Grey TwinTwin XL</t>
  </si>
  <si>
    <t>86569193414</t>
  </si>
  <si>
    <t>Madison Park Gia FullQueen 3 Piece Back Pr Blush FullQueen</t>
  </si>
  <si>
    <t>MP10-6210</t>
  </si>
  <si>
    <t>675716582326</t>
  </si>
  <si>
    <t>Intelligent Design Olivia 5-Pc. KingCalifornia K Pink King</t>
  </si>
  <si>
    <t>ID10-238</t>
  </si>
  <si>
    <t>COMFORTER: PRINTED POLYESTER PEACH SKIN; BRUSHED POLYESTER REVERSE; FILL: POLYESTERSHAM: PRINTED POLYESTER PEACH SKIN; BRUSHED POLYESTER REVERSEDECORATIVE PILLOW: FABRIC/FILL: POLYESTER</t>
  </si>
  <si>
    <t>83013225127</t>
  </si>
  <si>
    <t>Croscill Croscill Boutique Adriel Fashi Ivory 16x16</t>
  </si>
  <si>
    <t>2B0-582C0-9978</t>
  </si>
  <si>
    <t>191790006775</t>
  </si>
  <si>
    <t>AQ Textiles York NuPercale 600-Thread Coun Ivory Queen</t>
  </si>
  <si>
    <t>70802103003AQT</t>
  </si>
  <si>
    <t>83013145937</t>
  </si>
  <si>
    <t>Croscill Croscill Janine 18 x 12 Boud Blue No Size</t>
  </si>
  <si>
    <t>2A0-539C0-9001</t>
  </si>
  <si>
    <t>83013156261</t>
  </si>
  <si>
    <t>Croscill Croscill Janine 16 x 16 Fash Blue No Size</t>
  </si>
  <si>
    <t>2A0-582C0-9001</t>
  </si>
  <si>
    <t>83013145913</t>
  </si>
  <si>
    <t>Croscill Croscill Janine 18 x 18 Squa Blue 18x18</t>
  </si>
  <si>
    <t>2A0-590C0-9001</t>
  </si>
  <si>
    <t>706256793542</t>
  </si>
  <si>
    <t>Hotel Collection Connection European Sham Ivory European Sham</t>
  </si>
  <si>
    <t>CO15ES790</t>
  </si>
  <si>
    <t>86569111319</t>
  </si>
  <si>
    <t>JLA Home Solandis Printed 72 x 72 Sho Blue 72X72</t>
  </si>
  <si>
    <t>MCH70-996</t>
  </si>
  <si>
    <t>POLYESTER 95GSM</t>
  </si>
  <si>
    <t>783048013286</t>
  </si>
  <si>
    <t>Charisma Classic Cotton Sateen 310-Thre Sweet Corn King</t>
  </si>
  <si>
    <t>PC1881SCKS-4700</t>
  </si>
  <si>
    <t>CHARISMA/PEM AMERICA INC</t>
  </si>
  <si>
    <t>Lacourte Lois 50 x 60 Decorative Thro Multi 50x60</t>
  </si>
  <si>
    <t>Madison Park Ruched 20 Square Faux-Fur Dec Red 20x20</t>
  </si>
  <si>
    <t>783048999061</t>
  </si>
  <si>
    <t>Truly Soft Truly Soft Everyday White Quee Brown Queen</t>
  </si>
  <si>
    <t>SS1658BRQN-4700</t>
  </si>
  <si>
    <t>732995740578</t>
  </si>
  <si>
    <t>Martha Stewart Collection Stencilled Leaves King Sham Pink King Sham</t>
  </si>
  <si>
    <t>100037828KS</t>
  </si>
  <si>
    <t>Victoria Classics Sherpa Herringbone 50 x 60 T Insignia Blue</t>
  </si>
  <si>
    <t>680656163351</t>
  </si>
  <si>
    <t>Decopolitan Decopolitan 34-Inch Cap Teles Silver</t>
  </si>
  <si>
    <t>29778-AS36</t>
  </si>
  <si>
    <t>886087186284</t>
  </si>
  <si>
    <t>Lauren Ralph Lauren Lauren Ralph Lauren Wescott 56 Sailcloth White</t>
  </si>
  <si>
    <t>732997452387</t>
  </si>
  <si>
    <t>Martha Stewart Collection Flourish Velvet Quilted Standa Champagne Standard Sham</t>
  </si>
  <si>
    <t>100020063ST</t>
  </si>
  <si>
    <t>POLYESTER/SPANDEX/COTTON; FILL: COTTON</t>
  </si>
  <si>
    <t>Martha Stewart Collection Box Plaid Reversible Yarn-Dyed Grey Standard Sham</t>
  </si>
  <si>
    <t>886087186420</t>
  </si>
  <si>
    <t>Lauren Ralph Lauren Lauren Ralph Lauren Wescott 30 Admiral Blue</t>
  </si>
  <si>
    <t>706258050179</t>
  </si>
  <si>
    <t>Charter Club Damask Pima Cotton 550-Thread Horizon Sky Blue Standard Sham</t>
  </si>
  <si>
    <t>DLLSLSTHHZN</t>
  </si>
  <si>
    <t>86569096609</t>
  </si>
  <si>
    <t>JLA Home Atlantic Mosaic Soap Dish BlueSilver</t>
  </si>
  <si>
    <t>MCH71-829</t>
  </si>
  <si>
    <t>GLASS</t>
  </si>
  <si>
    <t>52501878244</t>
  </si>
  <si>
    <t>Cobra Reflections 27 x 54 Bath Tow Frost Multi</t>
  </si>
  <si>
    <t>52501878275</t>
  </si>
  <si>
    <t>Cobra Reflections 27 x 54 Bath Tow Sky Multi</t>
  </si>
  <si>
    <t>Martha Stewart Collection Chenille Medallion Standard Sh Ivory Standard Sham</t>
  </si>
  <si>
    <t>848405033120</t>
  </si>
  <si>
    <t>Mainstream International Inc. Sonata Cotton 30 x 54 Bath T Aqua No Size</t>
  </si>
  <si>
    <t>MACLSC194103</t>
  </si>
  <si>
    <t>MAINSTREAM INTERNATIONAL INC</t>
  </si>
  <si>
    <t>52501878282</t>
  </si>
  <si>
    <t>Cobra Reflections 16 x 28 Hand Tow Sky Multi</t>
  </si>
  <si>
    <t>766195319456</t>
  </si>
  <si>
    <t>Tommy Hilfiger Tommy Hilfiger All American 16 Navy</t>
  </si>
  <si>
    <t>TH1212</t>
  </si>
  <si>
    <t>TOMMY HILFIGER/HIMATSINGKA AMERICA</t>
  </si>
  <si>
    <t>636193749909</t>
  </si>
  <si>
    <t>Charter Club Elite Hygro Cotton Hand Towel Beet Hand Towels</t>
  </si>
  <si>
    <t>CCELITEH</t>
  </si>
  <si>
    <t>646760109579</t>
  </si>
  <si>
    <t>French Connection Cotton Textured Hand Towel White No Size</t>
  </si>
  <si>
    <t>MAT000046</t>
  </si>
  <si>
    <t>CREATIVE HOME IDEAS/YMF CARPET INC</t>
  </si>
  <si>
    <t>726895142815</t>
  </si>
  <si>
    <t>Hotel Collection Ultimate MicroCotton Sculpted Vapor Combo Grey No Size</t>
  </si>
  <si>
    <t>Cobra Reflections 13 x 13 Wash Tow Sky Multi</t>
  </si>
  <si>
    <t>848405033144</t>
  </si>
  <si>
    <t>Mainstream International Inc. Sonata Cotton 16 x 26 Hand T Grey No Size</t>
  </si>
  <si>
    <t>MACLSC194105</t>
  </si>
  <si>
    <t>FABRIC: 100% COTTON</t>
  </si>
  <si>
    <t>848405033151</t>
  </si>
  <si>
    <t>Mainstream International Inc. Sonata Cotton 16 x 26 Hand T Aqua No Size</t>
  </si>
  <si>
    <t>MACLSC194106</t>
  </si>
  <si>
    <t>23878646590</t>
  </si>
  <si>
    <t>Baltic Linens Cotton Washcloth Carnelian</t>
  </si>
  <si>
    <t>DARKORANGE</t>
  </si>
  <si>
    <t>BALTIC LINEN COMPANY INC</t>
  </si>
  <si>
    <t>675716533687</t>
  </si>
  <si>
    <t>MP BOONE BROWN KG CS</t>
  </si>
  <si>
    <t>MP10-905</t>
  </si>
  <si>
    <t>COMFORTER/SHAM: POLYESTER PRINT; REVERSES TO BRUSHED POLYESTER 270 GRAMS PER SQUARE METERCOMFORTER FILL: POLYESTERBED SKIRT: POLYESTER PILLOWS: POLYESTER COVER; FILL: POLYESTER</t>
  </si>
  <si>
    <t>675716279288</t>
  </si>
  <si>
    <t>AMHERST K COMF SET BLUE</t>
  </si>
  <si>
    <t>MP10-043</t>
  </si>
  <si>
    <t>883893441880</t>
  </si>
  <si>
    <t>SANDY COAST DRAPERY BASIC</t>
  </si>
  <si>
    <t>83/84 DBL</t>
  </si>
  <si>
    <t>TOMMY BAHAMA/REVMAN INTERNATIONAL</t>
  </si>
  <si>
    <t>FACE: COTTON/POLYESTER; REVERSE: COTTON</t>
  </si>
  <si>
    <t>679610773309</t>
  </si>
  <si>
    <t>VERDUGO 7 PC KING BASIC</t>
  </si>
  <si>
    <t>FIBER: POLYESTER, FILLING: POLYESTER</t>
  </si>
  <si>
    <t>675716905286</t>
  </si>
  <si>
    <t>CLOUD F/Q CS PK BASIC</t>
  </si>
  <si>
    <t>UHK10-0014</t>
  </si>
  <si>
    <t>COMFORTER/SHAM: COTTON; REVERSES TO COTTON THREAD COUNT: 144COMFORTER: POLYESTER FILL 220 GRAMS PER SQUARE METERPILLOW: COTTON; POLYESTER FILL THREAD COUNT: 144</t>
  </si>
  <si>
    <t>706254553032</t>
  </si>
  <si>
    <t>T700 DOBBY FL SS</t>
  </si>
  <si>
    <t>100048248FL</t>
  </si>
  <si>
    <t>636193932899</t>
  </si>
  <si>
    <t>HTL MARBLE WHITE 30X50</t>
  </si>
  <si>
    <t>800298612462</t>
  </si>
  <si>
    <t>URBAN SAFARI 96" PEWTER BASIC</t>
  </si>
  <si>
    <t>WED101131W09</t>
  </si>
  <si>
    <t>190052065796</t>
  </si>
  <si>
    <t>52X108CTLINENBR BASIC</t>
  </si>
  <si>
    <t>52X108CTLINENBR</t>
  </si>
  <si>
    <t>SUPERIOR/HOME CITY INC</t>
  </si>
  <si>
    <t>31374540014</t>
  </si>
  <si>
    <t>HD 5 ZN KING TOPPER</t>
  </si>
  <si>
    <t>HD5ZNMPKG</t>
  </si>
  <si>
    <t>HOME DESIGN-EDI/CARPENTER</t>
  </si>
  <si>
    <t>VISCO ELASTIC MEMORY FOAM</t>
  </si>
  <si>
    <t>81806449415</t>
  </si>
  <si>
    <t>BERKLEY FLAX 84 BASIC</t>
  </si>
  <si>
    <t>FZR02KCB2FLX</t>
  </si>
  <si>
    <t>FABRIC: COTTON; LINING: POLYESTER/COTTON</t>
  </si>
  <si>
    <t>735732584763</t>
  </si>
  <si>
    <t>HTL NDL20X32BATH RUG</t>
  </si>
  <si>
    <t>HTL-RUG-2PCZ-I2-NAVY</t>
  </si>
  <si>
    <t>86569040572</t>
  </si>
  <si>
    <t>COLE DVT SET NY F/Q</t>
  </si>
  <si>
    <t>UH12-2199</t>
  </si>
  <si>
    <t>80166187890</t>
  </si>
  <si>
    <t>BAC TONAL VINE 27X45 GOLD</t>
  </si>
  <si>
    <t>BACOVA GUILD LTD/RONILE INC</t>
  </si>
  <si>
    <t>MICRO POLYESTER / LATEX BACKING</t>
  </si>
  <si>
    <t>636193932875</t>
  </si>
  <si>
    <t>HTL MARBLE WHITE 22X36</t>
  </si>
  <si>
    <t>86569902856</t>
  </si>
  <si>
    <t>MIRAGE PANEL 50X108 CRALBASIC</t>
  </si>
  <si>
    <t>SS40-0021</t>
  </si>
  <si>
    <t>31374540007</t>
  </si>
  <si>
    <t>HP 5 ZN QUEEN TOPPER</t>
  </si>
  <si>
    <t>HD5ZNMPQU</t>
  </si>
  <si>
    <t>86569069474</t>
  </si>
  <si>
    <t>MS REV PLUSH DRK BLU TW</t>
  </si>
  <si>
    <t>80166030288</t>
  </si>
  <si>
    <t>BAC RIDGES BRN 28.3X46</t>
  </si>
  <si>
    <t>SOLANDIS SHOWER CURTAIN</t>
  </si>
  <si>
    <t>735732772566</t>
  </si>
  <si>
    <t>CLIPPED GEO SC</t>
  </si>
  <si>
    <t>R3D-SHC-7272-IN-WHIT</t>
  </si>
  <si>
    <t>21371039192</t>
  </si>
  <si>
    <t>OAK95BLU</t>
  </si>
  <si>
    <t>UNITED CURTAIN CO INC</t>
  </si>
  <si>
    <t>83013257654</t>
  </si>
  <si>
    <t>GABRIJEL 18X18 DEC BASIC</t>
  </si>
  <si>
    <t>2A0-590C0-1459</t>
  </si>
  <si>
    <t>190714278908</t>
  </si>
  <si>
    <t>ALETTA THROW BASIC</t>
  </si>
  <si>
    <t>1121923YEL50X60</t>
  </si>
  <si>
    <t>190714278915</t>
  </si>
  <si>
    <t>LIA THROW BASIC</t>
  </si>
  <si>
    <t>1121924NAVY50X60</t>
  </si>
  <si>
    <t>190714186012</t>
  </si>
  <si>
    <t>QUARTER PLEAT 2PK</t>
  </si>
  <si>
    <t>1116815GREY20X20</t>
  </si>
  <si>
    <t>81806448227</t>
  </si>
  <si>
    <t>CHENILLE LINEN 84 BASIC</t>
  </si>
  <si>
    <t>FZR02KBB2LIN</t>
  </si>
  <si>
    <t>80166090398</t>
  </si>
  <si>
    <t>JS KENDALL 27X45 MULTI</t>
  </si>
  <si>
    <t>09039E</t>
  </si>
  <si>
    <t>784857834246</t>
  </si>
  <si>
    <t>SEABURY 14 PIECE SET</t>
  </si>
  <si>
    <t>YK687448</t>
  </si>
  <si>
    <t>SHOWER CURTAIN/RUG: POLYESTER; HOOKS: METAL</t>
  </si>
  <si>
    <t>31374539988</t>
  </si>
  <si>
    <t>HD 5 ZN TWIN TOPPER</t>
  </si>
  <si>
    <t>HD5ZNMPTW</t>
  </si>
  <si>
    <t>746885385725</t>
  </si>
  <si>
    <t>Layton 50" x 84" Gromm BASIC</t>
  </si>
  <si>
    <t>MCKO69304284</t>
  </si>
  <si>
    <t>732994266307</t>
  </si>
  <si>
    <t>CC LEAVES 19.3X34 BASIC</t>
  </si>
  <si>
    <t>POLYESTER / SKID RESISTANT LATEX BACKING</t>
  </si>
  <si>
    <t>42694358944</t>
  </si>
  <si>
    <t>CC BTH RUG MINT 21X34</t>
  </si>
  <si>
    <t>CSOLD2X3MT</t>
  </si>
  <si>
    <t>NYLON; BACK: LATEX</t>
  </si>
  <si>
    <t>732994266314</t>
  </si>
  <si>
    <t>CC STRIPE RUG 19.3X3 BASIC</t>
  </si>
  <si>
    <t>CCSTP1X3</t>
  </si>
  <si>
    <t>FRONT: POLYESTER; BACK: SKID RESISTANT LATEX</t>
  </si>
  <si>
    <t>732994266321</t>
  </si>
  <si>
    <t>42694358869</t>
  </si>
  <si>
    <t>CC BTH RUG HIBISCS 21X34</t>
  </si>
  <si>
    <t>Y3222-730-021034</t>
  </si>
  <si>
    <t>86569103802</t>
  </si>
  <si>
    <t>BRETT STRIPE 14PC SET</t>
  </si>
  <si>
    <t>MCH70-948</t>
  </si>
  <si>
    <t>SHOWER CURTAIN:POLYESTER; BATH RUG: POLYESTER ; SHOWER CURTAIN HOOKS: METAL</t>
  </si>
  <si>
    <t>636206719448</t>
  </si>
  <si>
    <t>CC LUC SCAT 3X4 BASIC</t>
  </si>
  <si>
    <t>OLEFIN/POLYESTER; BACK: SKID RESISTANT LATEX</t>
  </si>
  <si>
    <t>86093587581</t>
  </si>
  <si>
    <t>CC KAKADU BLK 3X4 BASIC</t>
  </si>
  <si>
    <t>86093587604</t>
  </si>
  <si>
    <t>CC KAKADU TAN 3X4 BASIC</t>
  </si>
  <si>
    <t>42694385209</t>
  </si>
  <si>
    <t>CHERISH SEDONA RED 20X34</t>
  </si>
  <si>
    <t>Y3260-286-020034</t>
  </si>
  <si>
    <t>784857822601</t>
  </si>
  <si>
    <t>CATALINA 14PC SET</t>
  </si>
  <si>
    <t>YK686757</t>
  </si>
  <si>
    <t>SHOWER CURTAIN: POLYESTER; BATH RUG: POLYESTER; SHOWER CURTAIN HOOKS: METAL</t>
  </si>
  <si>
    <t>80166735299</t>
  </si>
  <si>
    <t>BAC KCH EASTLY REC 28X46BASIC</t>
  </si>
  <si>
    <t>OLEFIN FACE WITH ATEX BACK</t>
  </si>
  <si>
    <t>27399035567</t>
  </si>
  <si>
    <t>VELLUX VELX BLNKT</t>
  </si>
  <si>
    <t>A1WX035567</t>
  </si>
  <si>
    <t>42694385124</t>
  </si>
  <si>
    <t>CHERISH CLOUDB 17X24</t>
  </si>
  <si>
    <t>Y3260-945-017024</t>
  </si>
  <si>
    <t>42694385155</t>
  </si>
  <si>
    <t>CHERISH EMERALD 17X24</t>
  </si>
  <si>
    <t>Y3260-440-017024</t>
  </si>
  <si>
    <t>80166504888</t>
  </si>
  <si>
    <t>BAC WINSLOW 20X34 BLACK</t>
  </si>
  <si>
    <t>50488E</t>
  </si>
  <si>
    <t>675716353964</t>
  </si>
  <si>
    <t>HD WTRPRF MP T BASIC</t>
  </si>
  <si>
    <t>MCF16001</t>
  </si>
  <si>
    <t>HOME DESIGN-EDI/DOWNLITE INT'L</t>
  </si>
  <si>
    <t>81806449170</t>
  </si>
  <si>
    <t>RAINA WHITE 84 BASIC</t>
  </si>
  <si>
    <t>FZR02KMB2WHT</t>
  </si>
  <si>
    <t>WHITE IN 100% POLYESTER; LINEN IN POLYESTER/LINEN</t>
  </si>
  <si>
    <t>81806449187</t>
  </si>
  <si>
    <t>RAINA LINEN 84 BASIC</t>
  </si>
  <si>
    <t>FZR02KMB2LIN</t>
  </si>
  <si>
    <t>OMBRE 46X42 BL</t>
  </si>
  <si>
    <t>80166020289</t>
  </si>
  <si>
    <t>BAC RIDGES BRN 19.7X32.8</t>
  </si>
  <si>
    <t>80166020371</t>
  </si>
  <si>
    <t>BAC RIDGES GRY 19.7X32.8</t>
  </si>
  <si>
    <t>636206719745</t>
  </si>
  <si>
    <t>CC NAUTSTP SCAT 2X3 BASIC</t>
  </si>
  <si>
    <t>81806448913</t>
  </si>
  <si>
    <t>RAW SILK BLUSH 84 BASIC</t>
  </si>
  <si>
    <t>FZR02KJB2BLH</t>
  </si>
  <si>
    <t>BRGHT PINK</t>
  </si>
  <si>
    <t>734737535824</t>
  </si>
  <si>
    <t>SUN RIPPL GEM TAN 17X24</t>
  </si>
  <si>
    <t>R4203AN5311724</t>
  </si>
  <si>
    <t>24X2X17</t>
  </si>
  <si>
    <t>21864388431</t>
  </si>
  <si>
    <t>WHT/SL MONO 3PC LP/TIP-S</t>
  </si>
  <si>
    <t>02407LPFT-19-S</t>
  </si>
  <si>
    <t>TOWELS: COTTON; LOTION PUMP: CERAMIC</t>
  </si>
  <si>
    <t>21864388325</t>
  </si>
  <si>
    <t>WHT/SL MONO 3PC LP/TIP-B</t>
  </si>
  <si>
    <t>02407LPFT-19-B</t>
  </si>
  <si>
    <t>732995287776</t>
  </si>
  <si>
    <t>MS ESS 24PC WASH SET</t>
  </si>
  <si>
    <t>SHARADHA/ESSENTIAL BY MARTHA</t>
  </si>
  <si>
    <t>9944685182</t>
  </si>
  <si>
    <t>MULTI COLOR WAVERLY 27X45</t>
  </si>
  <si>
    <t>WATCWCL04MTC027045</t>
  </si>
  <si>
    <t>846339081026</t>
  </si>
  <si>
    <t>J Queen New York Giovani 4-Pc. King Comforter S Spa King</t>
  </si>
  <si>
    <t>2246054KCS</t>
  </si>
  <si>
    <t>636193158992</t>
  </si>
  <si>
    <t>Charter Club Damask Designs Colorblock 3-Pc Black FullQueen</t>
  </si>
  <si>
    <t>10002026FQ</t>
  </si>
  <si>
    <t>FABRIC: 100% COTTON THREAD COUNT: 300; COMFORTER FILL: POLYESTER</t>
  </si>
  <si>
    <t>86569263032</t>
  </si>
  <si>
    <t>INKIVY INKIVY Ellipse 3-Piece FullQ Navy FullQueen</t>
  </si>
  <si>
    <t>II10-1069</t>
  </si>
  <si>
    <t>COMFORTER/SHAM FRONT: COTTON CLIPPED JACQUARD; REVERSE: SOLID COTTON; COMFORTER WITH POLYESTER FILLING</t>
  </si>
  <si>
    <t>726895831269</t>
  </si>
  <si>
    <t>Charter Club Damask Designs Painted Plaid 3 Blue King</t>
  </si>
  <si>
    <t>100019833KG</t>
  </si>
  <si>
    <t>FABRIC: COTTON THREAD COUNT: 300; COMFORTER FILL: POLYESTER</t>
  </si>
  <si>
    <t>706257816110</t>
  </si>
  <si>
    <t>Charter Club Damask Designs Smoke 3-Pc. Kin Smoke King</t>
  </si>
  <si>
    <t>DCKGDSKSM</t>
  </si>
  <si>
    <t>706256451503</t>
  </si>
  <si>
    <t>Martha Stewart Collection Prairie House Morning Bedsprea Blue Full</t>
  </si>
  <si>
    <t>PRHSEFL</t>
  </si>
  <si>
    <t>COTTON FACE; POLYESTER REVERSE</t>
  </si>
  <si>
    <t>732994256605</t>
  </si>
  <si>
    <t>Martha Stewart Collection Fringe 2-Pc. Twin Comforter Se White Twin</t>
  </si>
  <si>
    <t>CFRINGETW</t>
  </si>
  <si>
    <t>FABRIC: 100% COTTON; POLYESTER FILL 253 GSM</t>
  </si>
  <si>
    <t>887719079714</t>
  </si>
  <si>
    <t>Goodful GoodFul 300 TC Hygro King Comf White King</t>
  </si>
  <si>
    <t>T300HYGWHCOMFKG</t>
  </si>
  <si>
    <t>FABRIC: 300TC COTTON; 8OZ ALFA LOFT POLYESTER FILL</t>
  </si>
  <si>
    <t>784857692068</t>
  </si>
  <si>
    <t>Idea Nuova Skylar Pom Pom 5-Pc. FullQuee Pink FullQueen</t>
  </si>
  <si>
    <t>YK681006</t>
  </si>
  <si>
    <t>TEEN VOGUE/IDEA NUOVA</t>
  </si>
  <si>
    <t>735837575680</t>
  </si>
  <si>
    <t>Martha Stewart Collection Ultra Comfort Queen Mattress P White Queen</t>
  </si>
  <si>
    <t>SLPSC3Q14</t>
  </si>
  <si>
    <t>MARTHA STEWART-MMG-EDI/PHOENIX DOWN</t>
  </si>
  <si>
    <t>706257818275</t>
  </si>
  <si>
    <t>Charter Club Damask Designs Smoke 2-Pc. Twi Smoke Twin</t>
  </si>
  <si>
    <t>DCTWDSKSM</t>
  </si>
  <si>
    <t>636206976957</t>
  </si>
  <si>
    <t>Martha Stewart Collection Solid Hem Cotton 325-Thread Co Pom Pink Queen</t>
  </si>
  <si>
    <t>SDQNSPOMPK</t>
  </si>
  <si>
    <t>MARTHA STEWART-EDI/RWI/KOHINOOR</t>
  </si>
  <si>
    <t>735732817519</t>
  </si>
  <si>
    <t>VCNY Home Quad Diamond 3PC FullQueen Du Beige FullQueen</t>
  </si>
  <si>
    <t>QUA-3DV-FUQU-GP-TAUP</t>
  </si>
  <si>
    <t>679610807868</t>
  </si>
  <si>
    <t>Hallmart Collectibles Amalina 5-Pc. FullQueen Comfo Blush FullQueen</t>
  </si>
  <si>
    <t>636206976858</t>
  </si>
  <si>
    <t>Martha Stewart Collection Solid Hem Cotton 325-Thread Co Fringe Pink Full</t>
  </si>
  <si>
    <t>SDFLSFRGPK</t>
  </si>
  <si>
    <t>FABRIC: 100% COTTON; THREAD COUNT: 325</t>
  </si>
  <si>
    <t>636206976872</t>
  </si>
  <si>
    <t>Martha Stewart Collection Solid Hem Cotton 325-Thread Co Pom Pink Full</t>
  </si>
  <si>
    <t>SDFLSPOMPK</t>
  </si>
  <si>
    <t>675716696924</t>
  </si>
  <si>
    <t>Intelligent Design Alex 42 x 63 Colorblock Chev Aqua 42x63</t>
  </si>
  <si>
    <t>ID40-556</t>
  </si>
  <si>
    <t>675716696917</t>
  </si>
  <si>
    <t>Intelligent Design Alex 42 x 63 Colorblock Chev Yellow 42x63</t>
  </si>
  <si>
    <t>ID40-554</t>
  </si>
  <si>
    <t>29927528312</t>
  </si>
  <si>
    <t>Sun Zero Shaw Theater Grade 80 x 84 E Coal 40x842</t>
  </si>
  <si>
    <t>86569007681</t>
  </si>
  <si>
    <t>Intelligent Design Raina Metallic-Print 50 x 84 Aqua 50x84</t>
  </si>
  <si>
    <t>ID40-1407</t>
  </si>
  <si>
    <t>636206978517</t>
  </si>
  <si>
    <t>Martha Stewart Collection Solid Hem Cotton 325-Thread Co Fringe Pink Twin</t>
  </si>
  <si>
    <t>SDTWSFRGPK</t>
  </si>
  <si>
    <t>636206978531</t>
  </si>
  <si>
    <t>Martha Stewart Collection Solid Hem Cotton 325-Thread Co Pom Pink Twin</t>
  </si>
  <si>
    <t>SDTWSPOMPK</t>
  </si>
  <si>
    <t>732994260220</t>
  </si>
  <si>
    <t>Martha Stewart Collection I Woke Up Like This Throw Pink Throw</t>
  </si>
  <si>
    <t>WOKEUPTHS</t>
  </si>
  <si>
    <t>DARK PINK</t>
  </si>
  <si>
    <t>MMG-MARTHA STEWART-EDI/FAZE III</t>
  </si>
  <si>
    <t>735732274497</t>
  </si>
  <si>
    <t>VCNY Home VCNY Home Atoll 3-Pc. King Emb Taupe King</t>
  </si>
  <si>
    <t>AT0-3DV-KING-IN-TAUP</t>
  </si>
  <si>
    <t>190714198961</t>
  </si>
  <si>
    <t>Lacourte 2-Pk. Quarter Pleat Reversible Champagne 20x20</t>
  </si>
  <si>
    <t>1116815CHAMP20X20</t>
  </si>
  <si>
    <t>746885386685</t>
  </si>
  <si>
    <t>Miller Curtains Kailey 50 x 95 Grommet Panel NaturalGold 50x95</t>
  </si>
  <si>
    <t>MCKO69101095</t>
  </si>
  <si>
    <t>190714202668</t>
  </si>
  <si>
    <t>Lacourte Sam 20 Square Decorative Pill Navy 20x20</t>
  </si>
  <si>
    <t>1112738NAVY20X20</t>
  </si>
  <si>
    <t>190714278854</t>
  </si>
  <si>
    <t>Lacourte Lilana 14 x 24 Decorative Pi Navy 14x24</t>
  </si>
  <si>
    <t>1121919NAVY14X24</t>
  </si>
  <si>
    <t>POLYESTER; FILL: FEATHER</t>
  </si>
  <si>
    <t>846339089688</t>
  </si>
  <si>
    <t>J Queen New York J Queen Constantine Scalloped Gold ONE SIZE</t>
  </si>
  <si>
    <t>23380302LSCV</t>
  </si>
  <si>
    <t>Mohawk Cherish 20 x 34 Bath Rug Sedona Red 20x34</t>
  </si>
  <si>
    <t>Hallmart Collectibles 50 x 60 Knit Throw Beige 50x60</t>
  </si>
  <si>
    <t>40773087457</t>
  </si>
  <si>
    <t>Martha Stewart Collection Fashion Stripe 21 x 34 Bath Blush Combo</t>
  </si>
  <si>
    <t>MARTHA STEWART-EDI/MOHAWK</t>
  </si>
  <si>
    <t>734737535855</t>
  </si>
  <si>
    <t>Sunham Heavenly Touch 21x 34 Tufte Mint 21 x 34</t>
  </si>
  <si>
    <t>R4395AG1522134</t>
  </si>
  <si>
    <t>734737594968</t>
  </si>
  <si>
    <t>Sunham HPPTYHOP LAV 2PC SET Lavender</t>
  </si>
  <si>
    <t>R20111AB272PCSET</t>
  </si>
  <si>
    <t>734737604742</t>
  </si>
  <si>
    <t>bluebellgray CLOSEOUT Sunham Upstate 2 PC Brown No Size</t>
  </si>
  <si>
    <t>R21048N652PCSET</t>
  </si>
  <si>
    <t>LACOSTE/SUNHAM HOME FASHIONS</t>
  </si>
  <si>
    <t>735732366901</t>
  </si>
  <si>
    <t>VCNY Home Always 14 x 20 Decorative Pi Grey 14x20</t>
  </si>
  <si>
    <t>ALW-PLW-1420-BB-GREY</t>
  </si>
  <si>
    <t>734737604735</t>
  </si>
  <si>
    <t>bluebellgray CLOSEOUT Sunham Upstate 2 PC Gray No Size</t>
  </si>
  <si>
    <t>R21048N1252PCSET</t>
  </si>
  <si>
    <t>734737604728</t>
  </si>
  <si>
    <t>bluebellgray CLOSEOUT Sunham Upstate 2 PC Green No Size</t>
  </si>
  <si>
    <t>R21048G202PCSET</t>
  </si>
  <si>
    <t>696445176600</t>
  </si>
  <si>
    <t>Cassadecor Maison Cotton Reversible Textu Powder Pink</t>
  </si>
  <si>
    <t>MSN-110</t>
  </si>
  <si>
    <t>732994782692</t>
  </si>
  <si>
    <t>Martha Stewart Collection Flower Bed 21 x 34 Bath Rug Pink Combo 21 x 34</t>
  </si>
  <si>
    <t>MARTHA STEWART-EDI/SUNHAM HOME FASH</t>
  </si>
  <si>
    <t>628961000510</t>
  </si>
  <si>
    <t>Kensington Garden Daisy Seed 18 x 18 Decorativ Light Beige 18x18</t>
  </si>
  <si>
    <t>JET3566</t>
  </si>
  <si>
    <t>80166505434</t>
  </si>
  <si>
    <t>Bacova Cassandra Gray 20.0 x 32.5 A Multi</t>
  </si>
  <si>
    <t>50543E</t>
  </si>
  <si>
    <t>TOP: NYLON; BOTTOM: LATEX</t>
  </si>
  <si>
    <t>86569111166</t>
  </si>
  <si>
    <t>JLA Home Sanibel 72 x 72 Faux-Linen S Blue 72X72</t>
  </si>
  <si>
    <t>MCH70-981</t>
  </si>
  <si>
    <t>POLYESTER 135GSM</t>
  </si>
  <si>
    <t>636206719417</t>
  </si>
  <si>
    <t>Charter Club Lucia 20 x 36 Scatter Rug GreyCream 20 x 36</t>
  </si>
  <si>
    <t>De Moocci Wrap Around Bed Skirt, Elastic Cream</t>
  </si>
  <si>
    <t>Sunham Cotton Petite Diamond 20 x 36 Red No Size</t>
  </si>
  <si>
    <t>696445167721</t>
  </si>
  <si>
    <t>Cassadecor Cassadecor Sayville Fringertip Dolphin Grey</t>
  </si>
  <si>
    <t>AMT-172</t>
  </si>
  <si>
    <t>86569283160</t>
  </si>
  <si>
    <t>Urban Habitat Rhinestone Starburst Cotton 28 Grey No Size</t>
  </si>
  <si>
    <t>MCH73-1582</t>
  </si>
  <si>
    <t>21864384969</t>
  </si>
  <si>
    <t>Avanti Geo Cotton 16 x 30 Hand Towe WhiteBlue ONE SIZE</t>
  </si>
  <si>
    <t>050342WBL</t>
  </si>
  <si>
    <t>FABRIC: 100% COTTON (EXCLUSIVE OF EMBELLISHMENT); 500 GRAMS PER SQUARE METER</t>
  </si>
  <si>
    <t>849785002133</t>
  </si>
  <si>
    <t>Castle Hill London Chakkar Board 17x24 Cotton Bat Natural No Size</t>
  </si>
  <si>
    <t>C1724-CBRD-NAT</t>
  </si>
  <si>
    <t>H.N. INTERNATIONAL GROUP INC</t>
  </si>
  <si>
    <t>79465052367</t>
  </si>
  <si>
    <t>Martex Rosa Floral Medallion Sculpted Gold No Size</t>
  </si>
  <si>
    <t>GI74052367</t>
  </si>
  <si>
    <t>MED YELLOW</t>
  </si>
  <si>
    <t>FABRIC: COTTON; 600 GRAMS PER SQUARE METER</t>
  </si>
  <si>
    <t>734737466876</t>
  </si>
  <si>
    <t>Sunham Supreme Select Cotton Hand Tow Steeple Grey</t>
  </si>
  <si>
    <t>T0376BM1961630</t>
  </si>
  <si>
    <t>TANK SETS</t>
  </si>
  <si>
    <t>646760109708</t>
  </si>
  <si>
    <t>French Connection Cotton Textured Hand Towel Light Pastel Blue No Size</t>
  </si>
  <si>
    <t>MAT000055</t>
  </si>
  <si>
    <t>23878666789</t>
  </si>
  <si>
    <t>Baltic Linens Cotton Hand Towel Galapagos No Size</t>
  </si>
  <si>
    <t>86569283153</t>
  </si>
  <si>
    <t>Urban Habitat Rhinestone Starburst Cotton 12 White No Size</t>
  </si>
  <si>
    <t>MCH73-1581</t>
  </si>
  <si>
    <t>848405033229</t>
  </si>
  <si>
    <t>Mainstream International Inc. Lace Damask Hand Towel Pink No Size</t>
  </si>
  <si>
    <t>MACLSC194113</t>
  </si>
  <si>
    <t>848405029369</t>
  </si>
  <si>
    <t>Mainstream International Inc. Sculpted Wash Towel Beige</t>
  </si>
  <si>
    <t>MACPROWASHFJACQ</t>
  </si>
  <si>
    <t>PILE: COTTON; GROUND: POLYESTER/COTTON</t>
  </si>
  <si>
    <t>848405029239</t>
  </si>
  <si>
    <t>Mainstream International Inc. Smartspun Cotton Wash Towel Beige</t>
  </si>
  <si>
    <t>MACPROWASHSOLID</t>
  </si>
  <si>
    <t>96675810808</t>
  </si>
  <si>
    <t>Martha Stewart Collection Dream Science 3 Memory Foam K White King</t>
  </si>
  <si>
    <t>10012108KG</t>
  </si>
  <si>
    <t>NYLON/POLYESTER.</t>
  </si>
  <si>
    <t>96675810792</t>
  </si>
  <si>
    <t>Martha Stewart Collection Dream Science 3 Memory Foam Q White Queen</t>
  </si>
  <si>
    <t>10012108QN</t>
  </si>
  <si>
    <t>766195501561</t>
  </si>
  <si>
    <t>Tommy Hilfiger Alexander Reversible 3-Pc. Ful Blue FullQueen</t>
  </si>
  <si>
    <t>17T0900-FQ-B1-O1</t>
  </si>
  <si>
    <t>COMFORTER AND SHAMS: COTTON/LYCRA® SPANDEX; COMFORTER FILL: POLYESTER</t>
  </si>
  <si>
    <t>709271453040</t>
  </si>
  <si>
    <t>Calvin Klein odern Cotton Steve FullQueen Grey FullQueen</t>
  </si>
  <si>
    <t>1410158-FQ-G1-D2</t>
  </si>
  <si>
    <t>COTTON/MODAL/POLYESTER/SPANDEX</t>
  </si>
  <si>
    <t>766195501554</t>
  </si>
  <si>
    <t>Tommy Hilfiger Alexander Reversible 2-Pc. Twi Blue Twin</t>
  </si>
  <si>
    <t>17T0900-TW-B1-O1</t>
  </si>
  <si>
    <t>679610800616</t>
  </si>
  <si>
    <t>Hallmart Collectibles Swinton 14-Pc. Queen Comforter Plum Queen</t>
  </si>
  <si>
    <t>COMFORTER/SHAMS/BEDSKIRT/PILLOWS: POLYESTER (EXCLUSIVE OF DECORATION); THROW: ACRYLIC/POLYESTER; SHEETS: COTTON; POLYESTER FILL</t>
  </si>
  <si>
    <t>636189842799</t>
  </si>
  <si>
    <t>Martha Stewart Collection 100 Cotton Earth-Tone Stripe Light Beige King</t>
  </si>
  <si>
    <t>YDEARTHKG</t>
  </si>
  <si>
    <t>734737549739</t>
  </si>
  <si>
    <t>Martha Stewart Collection Crinkle Cotton 3-Pc. Carnation Pastel King</t>
  </si>
  <si>
    <t>CKCOTPKKG</t>
  </si>
  <si>
    <t>FABRIC: COTTON; POLYESTER FILL (270 GSM COMFORTER)</t>
  </si>
  <si>
    <t>819254020395</t>
  </si>
  <si>
    <t>Brown Grey Ombre Stripe Taupe 8-piece Bed Red Queen</t>
  </si>
  <si>
    <t>BG180180033</t>
  </si>
  <si>
    <t>91116691596</t>
  </si>
  <si>
    <t>Jessica Sanders Paradigm Reversible 12-Pc. Kin Navy With Shades Of Aqua King</t>
  </si>
  <si>
    <t>PARBSK</t>
  </si>
  <si>
    <t>86569247520</t>
  </si>
  <si>
    <t>Premier Comfort Premier Comfort Velvet Sherpa Red Plaid FullQueen</t>
  </si>
  <si>
    <t>MCH10-1456</t>
  </si>
  <si>
    <t>861159002600</t>
  </si>
  <si>
    <t>MyPillow Classic StndQueenMedium White StandardQueen</t>
  </si>
  <si>
    <t>CSQME</t>
  </si>
  <si>
    <t>MYPILLOW</t>
  </si>
  <si>
    <t>810001364533</t>
  </si>
  <si>
    <t>Southshore Fine Linens Southshore Fine Linens Oversiz Dusty Rose FullQueen</t>
  </si>
  <si>
    <t>VILANO-QLTS-Q</t>
  </si>
  <si>
    <t>734737593244</t>
  </si>
  <si>
    <t>Sunham Delaney Reversible 6-Pc. Twin Natural Twin</t>
  </si>
  <si>
    <t>679610808056</t>
  </si>
  <si>
    <t>Hallmart Collectibles Odessa Blush 4-Pc. TwinTwin X Blush TwinTwin XL</t>
  </si>
  <si>
    <t>732994203395</t>
  </si>
  <si>
    <t>Charter Club Damask Designs Embroidered 18 Blue</t>
  </si>
  <si>
    <t>COTTON; DECORATION/FILL: POLYESTER</t>
  </si>
  <si>
    <t>83013067482</t>
  </si>
  <si>
    <t>Croscill Clairmont Tailored 88 x 18 W Ecru ONE SIZE</t>
  </si>
  <si>
    <t>2A0-452O0-0784</t>
  </si>
  <si>
    <t>11 PLT DBL</t>
  </si>
  <si>
    <t>783048023889</t>
  </si>
  <si>
    <t>Truly Soft Truly Soft Everyday White Full Silver Grey FullQueen</t>
  </si>
  <si>
    <t>DCS1657SGYFQ-18</t>
  </si>
  <si>
    <t>96675171640</t>
  </si>
  <si>
    <t>SensorPEDIC SensorPEDIC MicroShield Antimi White Queen</t>
  </si>
  <si>
    <t>240 THREAD COUNT POLYESTER/NYLON</t>
  </si>
  <si>
    <t>675716624958</t>
  </si>
  <si>
    <t>Madison Park Saratoga 50 x 63 Fretwork-Pr Yellow 50x63</t>
  </si>
  <si>
    <t>MP40-1572</t>
  </si>
  <si>
    <t>BODY: POLYESTER/COTTON/RAYON</t>
  </si>
  <si>
    <t>706258633280</t>
  </si>
  <si>
    <t>Charter Club Damask Designs Diamond Dot Cot Grey 18x18</t>
  </si>
  <si>
    <t>D1818DOTGR</t>
  </si>
  <si>
    <t>86569904706</t>
  </si>
  <si>
    <t>Madison Park Elena 38 x 46 Faux-Silk Rod Pewter 38x46</t>
  </si>
  <si>
    <t>MP41-4958</t>
  </si>
  <si>
    <t>Madison Park Elena 38 x 46 Faux-Silk Rod Bronze 38x46</t>
  </si>
  <si>
    <t>675716908089</t>
  </si>
  <si>
    <t>Madison Park Serene 50 x 18 Colorblocked Navy 50x18</t>
  </si>
  <si>
    <t>MP41-4210</t>
  </si>
  <si>
    <t>675716833244</t>
  </si>
  <si>
    <t>Madison Park Serene 50 x 18 Colorblocked Blue 50x18</t>
  </si>
  <si>
    <t>MP41-3505</t>
  </si>
  <si>
    <t>788904130596</t>
  </si>
  <si>
    <t>Royal Luxe Royal Luxe Microfiber Color Do Sage Twin</t>
  </si>
  <si>
    <t>80166620335</t>
  </si>
  <si>
    <t>Bacova Hepburn 20 x 33 Shag Accent Silver No Size</t>
  </si>
  <si>
    <t>29927373547</t>
  </si>
  <si>
    <t>No. 918 No. 918 Montego 48 x 63 Curt White 48x63</t>
  </si>
  <si>
    <t>86569111227</t>
  </si>
  <si>
    <t>JLA Home Stella 70 x 72 Shower Curtai Grey 72X72</t>
  </si>
  <si>
    <t>MCH70-987</t>
  </si>
  <si>
    <t>29927431865</t>
  </si>
  <si>
    <t>Sun Zero Sun Zero Grant 54 x 63 Rod P Brick 54x63</t>
  </si>
  <si>
    <t>732994474887</t>
  </si>
  <si>
    <t>Martha Stewart Collection Botanical Standard Sham Light Green Standard Sham</t>
  </si>
  <si>
    <t>BOTNCLGRST</t>
  </si>
  <si>
    <t>706258090519</t>
  </si>
  <si>
    <t>Charter Club Damask Stripe Pima Cotton 300- Cornflower Medium Blue European Sham</t>
  </si>
  <si>
    <t>DLLSTEUHCRN</t>
  </si>
  <si>
    <t>726895921649</t>
  </si>
  <si>
    <t>Charter Club Down Alternative Medium Standa White Standard</t>
  </si>
  <si>
    <t>100058667QN</t>
  </si>
  <si>
    <t>750105163079</t>
  </si>
  <si>
    <t>TB LAST ACT QUILTED PI</t>
  </si>
  <si>
    <t>FEDPG350S</t>
  </si>
  <si>
    <t>25695926282</t>
  </si>
  <si>
    <t>BEAUTYREST MEDIUM HOW DOBASIC</t>
  </si>
  <si>
    <t>92628-5679</t>
  </si>
  <si>
    <t>HOLLANDER SLEEP PRODUCTS</t>
  </si>
  <si>
    <t>CS8997FQ-1500</t>
  </si>
  <si>
    <t>47293399565</t>
  </si>
  <si>
    <t>Sure Fit Slipcover, Matelasse Damask Di White Chair Slipcover</t>
  </si>
  <si>
    <t>193625236X</t>
  </si>
  <si>
    <t>734737536395</t>
  </si>
  <si>
    <t>Sunham Bari 350-Thread Count 4-Pc. So Ivory King</t>
  </si>
  <si>
    <t>SHEETS &amp;CASES</t>
  </si>
  <si>
    <t>885308345097</t>
  </si>
  <si>
    <t>Eclipse Arno Thermalayer Blue 52x84</t>
  </si>
  <si>
    <t>14704052084BLU</t>
  </si>
  <si>
    <t>675716932756</t>
  </si>
  <si>
    <t>Madison Park Brooklyn 50x84 Metallic Geo E Spice 50x84</t>
  </si>
  <si>
    <t>MP40-4363</t>
  </si>
  <si>
    <t>675716669881</t>
  </si>
  <si>
    <t>Madison Park Zuri Reversible Oversized 60 Chocolate 60x70</t>
  </si>
  <si>
    <t>MP50-1912</t>
  </si>
  <si>
    <t>783048023896</t>
  </si>
  <si>
    <t>Truly Soft Truly Soft Everyday White King Silver Grey King</t>
  </si>
  <si>
    <t>DCS1657SGYKG-18</t>
  </si>
  <si>
    <t>783048998392</t>
  </si>
  <si>
    <t>Truly Soft Truly Soft Everyday White King Grey King</t>
  </si>
  <si>
    <t>DCS1657GYK-1800</t>
  </si>
  <si>
    <t>885308456908</t>
  </si>
  <si>
    <t>Eclipse Tricia Patio Door Panel River Blue 100x84</t>
  </si>
  <si>
    <t>15945100X084RVB</t>
  </si>
  <si>
    <t>91116716244</t>
  </si>
  <si>
    <t>Sanders Royal Silky Satin 4-Pc. Califo Platinum California King</t>
  </si>
  <si>
    <t>PLTSSC</t>
  </si>
  <si>
    <t>COZY HOME FASHION/SANDER SALES ENT</t>
  </si>
  <si>
    <t>886087118575</t>
  </si>
  <si>
    <t>Ralph Lauren Towels, Palmer 31 x 21 Tub M Polo Navy</t>
  </si>
  <si>
    <t>651193324E0F</t>
  </si>
  <si>
    <t>TUB MAT</t>
  </si>
  <si>
    <t>783048113405</t>
  </si>
  <si>
    <t>Pem America Ridgefield 2-Pc. Twin Comforte Multi Twin</t>
  </si>
  <si>
    <t>CS3246TW-1540</t>
  </si>
  <si>
    <t>29927477573</t>
  </si>
  <si>
    <t>Sun Zero Sun Zero Grant 54 x 95 Gromm Taupe 54x95</t>
  </si>
  <si>
    <t>675716744069</t>
  </si>
  <si>
    <t>Intelligent Design Oversized 60 x 70 MicroLight Gray 60x70</t>
  </si>
  <si>
    <t>ID50-844</t>
  </si>
  <si>
    <t>29927425529</t>
  </si>
  <si>
    <t>No. 918 No. 918 Montego 48 x 95 Cu White 48x95</t>
  </si>
  <si>
    <t>735732106484</t>
  </si>
  <si>
    <t>Victoria Classics Dublin Cable-Knit 18 Square D Camel 18x18</t>
  </si>
  <si>
    <t>DUB1818CM</t>
  </si>
  <si>
    <t>860001844979</t>
  </si>
  <si>
    <t>Estex Home Fashions Paris 20 x 20 Decorative Pil Grey 20x20</t>
  </si>
  <si>
    <t>CP2020LG</t>
  </si>
  <si>
    <t>ESTEX HOME FASHION</t>
  </si>
  <si>
    <t>86569111173</t>
  </si>
  <si>
    <t>JLA Home Pompano 72 x 72 Shower Curta White Multi 72X72</t>
  </si>
  <si>
    <t>MCH70-982</t>
  </si>
  <si>
    <t>732997431115</t>
  </si>
  <si>
    <t>Martha Stewart Collection Velvet Channel Stitch Standard Red Standard Sham</t>
  </si>
  <si>
    <t>100071392ST</t>
  </si>
  <si>
    <t>21864285617</t>
  </si>
  <si>
    <t>Avanti Initial Script Granite and Sil H</t>
  </si>
  <si>
    <t>2252-H FTIP</t>
  </si>
  <si>
    <t>696445173692</t>
  </si>
  <si>
    <t>Cassadecor Cassadecor Checkered 100 Turk Cielo 13x13</t>
  </si>
  <si>
    <t>HMM-172</t>
  </si>
  <si>
    <t>WASH CLOTH</t>
  </si>
  <si>
    <t>766360433437</t>
  </si>
  <si>
    <t>IVOR LUXE TURKISH BASIC</t>
  </si>
  <si>
    <t>HPTURFWI</t>
  </si>
  <si>
    <t>MMG-HUDSON PARK</t>
  </si>
  <si>
    <t>MADE IN TURKEY</t>
  </si>
  <si>
    <t>100% TURKISH COTTON</t>
  </si>
  <si>
    <t>651896521317</t>
  </si>
  <si>
    <t>Morgan Home MHF Home Kids Full Sheet Set Blue Full</t>
  </si>
  <si>
    <t>M521317</t>
  </si>
  <si>
    <t>MORGAN HOME FASHIONS</t>
  </si>
  <si>
    <t>733001230229</t>
  </si>
  <si>
    <t>Martha Stewart Collection Quick-Dry 6-Pc. Towel Set Platinum Grey</t>
  </si>
  <si>
    <t>MARTHA STEWART-EDI/RWI/WELSPUN</t>
  </si>
  <si>
    <t>96675641280</t>
  </si>
  <si>
    <t>SensorPEDIC SensorCOOL 3-Inch Gel-Infused White King</t>
  </si>
  <si>
    <t>885308361981</t>
  </si>
  <si>
    <t>Waverly Sanctuary Rose Comforter Set Heritage Blue King</t>
  </si>
  <si>
    <t>14922BEDDKNGHTB</t>
  </si>
  <si>
    <t>WAVERLY/KEECO LLC</t>
  </si>
  <si>
    <t>679610800579</t>
  </si>
  <si>
    <t>Hallmart Collectibles Germaine 14-Pc. Queen Comforte NavyTan Queen</t>
  </si>
  <si>
    <t>COMFORTER/PILLOW/SHAMS/EUROS: POLYESTER; FILL: POLYESTER; BEDSKIRT: POLYESTER/POLYPROPYLENE; THROW: ACRYLIC; SHEETS: COTTON</t>
  </si>
  <si>
    <t>608356630591</t>
  </si>
  <si>
    <t>Lucky Brand Cotton Reversible 2-Pc. Tile S Grey FullQueen</t>
  </si>
  <si>
    <t>10019511FQ</t>
  </si>
  <si>
    <t>COTTON; EMBROIDERY: POLYESTER</t>
  </si>
  <si>
    <t>86569238740</t>
  </si>
  <si>
    <t>INKIVY INKIVY Mila 3-Piece FullQuee Navy FullQueen</t>
  </si>
  <si>
    <t>II10-1061</t>
  </si>
  <si>
    <t>YOUNG CL HOME</t>
  </si>
  <si>
    <t>INK &amp; IVY/JLA HOME/E &amp; E CO LTD</t>
  </si>
  <si>
    <t>COTTON WITH POLYESTER FILLING</t>
  </si>
  <si>
    <t>679610666199</t>
  </si>
  <si>
    <t>Riverbrook Home Elsie 7 Pc King Comforter Set Blackgray King</t>
  </si>
  <si>
    <t>848742066768</t>
  </si>
  <si>
    <t>Lush Decor Zuri Flora Room Darkening 52x Blue 52x84</t>
  </si>
  <si>
    <t>16T002251</t>
  </si>
  <si>
    <t>675716490607</t>
  </si>
  <si>
    <t>Madison Park Madison Park Keaton 2-Piece Tw White TwinTwin XL</t>
  </si>
  <si>
    <t>MP13-625</t>
  </si>
  <si>
    <t>MICROFIBER FROM POLYESTER; COVERLET FILL: COTTON/POLYESTER/OTHER 85 GSM</t>
  </si>
  <si>
    <t>675716674830</t>
  </si>
  <si>
    <t>Sleep Philosophy Peyton Reversible 3-Pc. FullQ Grey FullQueen</t>
  </si>
  <si>
    <t>BASI10-0340</t>
  </si>
  <si>
    <t>735732791383</t>
  </si>
  <si>
    <t>VCNY Home Hudson Puff Paint With Blackou Taupe 38x96</t>
  </si>
  <si>
    <t>HUF-4PN-7696-IN-TAUP</t>
  </si>
  <si>
    <t>BLACKOUT PANEL: 100% MICROFIBER/ PUFF PAINT PANEL: 85% MICROFIBER, 15% COTTON</t>
  </si>
  <si>
    <t>Martha Stewart Collection Down Alternative Reverse to Pl Avocado FullQueen</t>
  </si>
  <si>
    <t>734737592896</t>
  </si>
  <si>
    <t>Fairfield Square Collection Livingston Reversible 8-Pc. Co Blue Twin XL</t>
  </si>
  <si>
    <t>20558022A</t>
  </si>
  <si>
    <t>732995003062</t>
  </si>
  <si>
    <t>Lucky Brand Embroidered Floral 260-Thread Sand 16x20</t>
  </si>
  <si>
    <t>32281264710</t>
  </si>
  <si>
    <t>Disney Disney Cars 3-Piece Twin Sheet Multi Twin</t>
  </si>
  <si>
    <t>JF26471</t>
  </si>
  <si>
    <t>DISNEY/JAY FRANCO &amp; SONS</t>
  </si>
  <si>
    <t>734737592834</t>
  </si>
  <si>
    <t>Fairfield Square Collection Martina Reversible 6-Pc. Twin Purple Twin XL</t>
  </si>
  <si>
    <t>20557022A</t>
  </si>
  <si>
    <t>734737592827</t>
  </si>
  <si>
    <t>Sunham Martina Reversible 6-Pc. Twin Purple Twin</t>
  </si>
  <si>
    <t>190714294007</t>
  </si>
  <si>
    <t>Lacourte 2-Pk. Home At Last Decorative Multi No Size</t>
  </si>
  <si>
    <t>1122754MULTIONESZ</t>
  </si>
  <si>
    <t>610395226383</t>
  </si>
  <si>
    <t>Exclusive Fabrics Furnishing Exclusive Fabrics Furnishing White 50 x 96</t>
  </si>
  <si>
    <t>SHFLNCH-M011-96</t>
  </si>
  <si>
    <t>675716630829</t>
  </si>
  <si>
    <t>Madison Park Duke Ribbed 50 x 60 Faux-Fur Gray 50x60</t>
  </si>
  <si>
    <t>MP50-1593</t>
  </si>
  <si>
    <t>734737572980</t>
  </si>
  <si>
    <t>Silken Slumber Solid Champagne Eyemask Black ONE SIZE</t>
  </si>
  <si>
    <t>19673EM</t>
  </si>
  <si>
    <t>OSFA REG</t>
  </si>
  <si>
    <t>ALL SILK</t>
  </si>
  <si>
    <t>734737572959</t>
  </si>
  <si>
    <t>Silken Slumber Solid Champagne Eyemask Blush ONE SIZE</t>
  </si>
  <si>
    <t>19672EM</t>
  </si>
  <si>
    <t>734737573017</t>
  </si>
  <si>
    <t>Silken Slumber Solid Champagne Eyemask Merlot ONE SIZE</t>
  </si>
  <si>
    <t>19674EM</t>
  </si>
  <si>
    <t>734737572898</t>
  </si>
  <si>
    <t>Silken Slumber Solid Champagne Eyemask Champagne ONE SIZE</t>
  </si>
  <si>
    <t>19670EM</t>
  </si>
  <si>
    <t>706258441380</t>
  </si>
  <si>
    <t>Hotel Collection Ultimate MicroCotton 30 x 5 Ash Bath Towels</t>
  </si>
  <si>
    <t>HTLMCBASH</t>
  </si>
  <si>
    <t>99446453631</t>
  </si>
  <si>
    <t>Nourison Hello 18 x 30 Accent Rug Orange</t>
  </si>
  <si>
    <t>ACCE978JTORG018030</t>
  </si>
  <si>
    <t>ORANGE</t>
  </si>
  <si>
    <t>30X18</t>
  </si>
  <si>
    <t>NOURISON INDUSTRIES INC</t>
  </si>
  <si>
    <t>81806512119</t>
  </si>
  <si>
    <t>Keeco CLOSEOUT Voile Linen Rod Pock Linen</t>
  </si>
  <si>
    <t>FZA02K1MNLIN</t>
  </si>
  <si>
    <t>32281206956</t>
  </si>
  <si>
    <t>PRINCESS CUT PAPER TW SS</t>
  </si>
  <si>
    <t>JF20695BBCD</t>
  </si>
  <si>
    <t>693614014886</t>
  </si>
  <si>
    <t>LUXURY 2 LOFT WHITE BASIC</t>
  </si>
  <si>
    <t>EJHFTHRBED4</t>
  </si>
  <si>
    <t>SHELL: 100% COTTON, FILL: TOP- 16OZ WHITE GOOSE DOWN, BOTTOM-232OZ WHITE GOOSE FEATHER</t>
  </si>
  <si>
    <t>675716361501</t>
  </si>
  <si>
    <t>LOLA CK COMF SET YELLOW</t>
  </si>
  <si>
    <t>MP10-175</t>
  </si>
  <si>
    <t>REDOVERFLW</t>
  </si>
  <si>
    <t>86569896902</t>
  </si>
  <si>
    <t>MP MERCIA Q CS NY</t>
  </si>
  <si>
    <t>MP10-4887</t>
  </si>
  <si>
    <t>726895255508</t>
  </si>
  <si>
    <t>RUFFLE WH TW QLT</t>
  </si>
  <si>
    <t>RUFFLEWHTW</t>
  </si>
  <si>
    <t>86569209146</t>
  </si>
  <si>
    <t>WALTER CS GY CK</t>
  </si>
  <si>
    <t>MP10-6292</t>
  </si>
  <si>
    <t>COMFORTER/SHAM: POLYESTER SEERSUCKER FACE, POLYESTER MICROFIBER BACK; COMFORTER WITH POLYESTER FILLING; BEDSKIRT: POLYESTER MICROFIBER; DECORATIVE PILLOW: POLYESTER MICROFIBER COVER WITH POLYESTER FILLING</t>
  </si>
  <si>
    <t>86569023285</t>
  </si>
  <si>
    <t>MPE MAIBLE CMFSET Q AQ</t>
  </si>
  <si>
    <t>MPE10-729</t>
  </si>
  <si>
    <t>COMFORTER/SHAM/BEDSKIRT/PILLOW: POLYESTER; SHEET SET: COTTON; COMFORTER/PILLOW FILL: POLYESTER 75 GSM</t>
  </si>
  <si>
    <t>675716567996</t>
  </si>
  <si>
    <t>MP KEATON CVST K GY</t>
  </si>
  <si>
    <t>MP13-1239</t>
  </si>
  <si>
    <t>96675171534</t>
  </si>
  <si>
    <t>MSC WASH FOAM MP K</t>
  </si>
  <si>
    <t>M17153</t>
  </si>
  <si>
    <t>PILLOWS &amp; PAD</t>
  </si>
  <si>
    <t>MARTHA STEWART-EDI/SOFT-TEX MFG CO</t>
  </si>
  <si>
    <t>COVER FACE AND FILL: POLYESTER; INNER KNIT: POLYESTER/SPANDEX; BACK: POLYPROPYLENE; FILL: MEMORY FOAM; SKIRT: POLYESTER</t>
  </si>
  <si>
    <t>96675805170</t>
  </si>
  <si>
    <t>MEMORYLOFT 3" MEMFO AND</t>
  </si>
  <si>
    <t>COVER: 220TC POLYESTER; FILL: POLYESTER/MEMORY FOAM CLUSTERS</t>
  </si>
  <si>
    <t>788904801939</t>
  </si>
  <si>
    <t>WGF/D FIBER COMF</t>
  </si>
  <si>
    <t>SE003023</t>
  </si>
  <si>
    <t>BLUE RIDGE HOME FASHIONS</t>
  </si>
  <si>
    <t>679610800241</t>
  </si>
  <si>
    <t>TINDO 7PC CK COMF</t>
  </si>
  <si>
    <t>FABRIC: POLYESTER (EXCLUSIVE OF DECORATION); POLYESTER FILL</t>
  </si>
  <si>
    <t>732994475785</t>
  </si>
  <si>
    <t>PALM LEAVES KG QLT</t>
  </si>
  <si>
    <t>PALMLVKG</t>
  </si>
  <si>
    <t>706254842952</t>
  </si>
  <si>
    <t>RADIANT Q EURO SHAM</t>
  </si>
  <si>
    <t>RA27QE790</t>
  </si>
  <si>
    <t>HOTEL BY CHARTER CLUB-MMG</t>
  </si>
  <si>
    <t>SHELL: COTTON/POLYESTER; FILL: POLYESTER</t>
  </si>
  <si>
    <t>706255695120</t>
  </si>
  <si>
    <t>ECLIPSE KG SHAM</t>
  </si>
  <si>
    <t>EP14KS790</t>
  </si>
  <si>
    <t>726895980790</t>
  </si>
  <si>
    <t>HNYCM THROW</t>
  </si>
  <si>
    <t>HOTEL BY C CLUB-EDI/RWI/FA</t>
  </si>
  <si>
    <t>675716899790</t>
  </si>
  <si>
    <t>ID JONI PURPLE F/Q CS</t>
  </si>
  <si>
    <t>ID10-1099</t>
  </si>
  <si>
    <t>COMFORTER: BRUSHED POLYESTER MICROFIBER 85 GRAMS PER SQUARE METER; FILL: POLYESTERSHAM: BRUSHED POLYESTER MICROFIBER 85 GRAMS PER SQUARE METERDECORATIVE PILLOWS: FABRIC/FILL: POLYESTER</t>
  </si>
  <si>
    <t>86569065797</t>
  </si>
  <si>
    <t>ID ODETTE COMF F/Q BL</t>
  </si>
  <si>
    <t>ID10-1334</t>
  </si>
  <si>
    <t>734737544055</t>
  </si>
  <si>
    <t>T450 REST FRCH BLU QN SS</t>
  </si>
  <si>
    <t>675716455569</t>
  </si>
  <si>
    <t>AUBREY 50X84 PNL BLUE</t>
  </si>
  <si>
    <t>WIN40-091</t>
  </si>
  <si>
    <t>783048024169</t>
  </si>
  <si>
    <t>TSE BL LAV RV KING CMS</t>
  </si>
  <si>
    <t>CS1656BLKG-17</t>
  </si>
  <si>
    <t>100% MICROFIBER FACE AND BACK. FILLED WITH 100% HYPOALLERGENIC POLYESTER.</t>
  </si>
  <si>
    <t>675716483531</t>
  </si>
  <si>
    <t>LIBRA F/Q 4PC COMF SET BASIC</t>
  </si>
  <si>
    <t>MZ10-129</t>
  </si>
  <si>
    <t>COMFORTER/SHAM/PILLOW COVER: POLYESTER; COMFORTER/SHAM FILL: POLYESTER 200 GRAMS PER SQUARE METER; PILLOW FILL: POLYESTER</t>
  </si>
  <si>
    <t>96675361133</t>
  </si>
  <si>
    <t>ULTFRESH KG PLW 2PK</t>
  </si>
  <si>
    <t>86569928313</t>
  </si>
  <si>
    <t>CLAY F/Q GREY COMF SET</t>
  </si>
  <si>
    <t>MPE10-649</t>
  </si>
  <si>
    <t>ESTELLE TW 6PC COMF</t>
  </si>
  <si>
    <t>IDEN</t>
  </si>
  <si>
    <t>675716841324</t>
  </si>
  <si>
    <t>AVERIL 50X95 PANEL GREY BASIC</t>
  </si>
  <si>
    <t>MP40-3596</t>
  </si>
  <si>
    <t>FABRIC: RAYON/POLYESTER</t>
  </si>
  <si>
    <t>83013208908</t>
  </si>
  <si>
    <t>SEREN BOUDOIR DEC</t>
  </si>
  <si>
    <t>2A0-539C0-4763</t>
  </si>
  <si>
    <t>12X18</t>
  </si>
  <si>
    <t>EX-CELL HOME FASHIONS INC</t>
  </si>
  <si>
    <t>FACE: POLYESTER BACK: POLYESTER/NYLON; POLYESTER FILL</t>
  </si>
  <si>
    <t>628961000299</t>
  </si>
  <si>
    <t>ANASTASIA PILLOW</t>
  </si>
  <si>
    <t>JET9174</t>
  </si>
  <si>
    <t>190714294014</t>
  </si>
  <si>
    <t>BETTER TOGETHER 2PK BASIC</t>
  </si>
  <si>
    <t>1122755MULTIONESZ</t>
  </si>
  <si>
    <t>750105132563</t>
  </si>
  <si>
    <t>MSC DREAM COMF 2PK EURO</t>
  </si>
  <si>
    <t>FEDG0260WE</t>
  </si>
  <si>
    <t>MARTHA STEWART-EDI/DOWNLITE</t>
  </si>
  <si>
    <t>SHELL: COTTON; FILL: POLYESTER</t>
  </si>
  <si>
    <t>190714257606</t>
  </si>
  <si>
    <t>GATSBY PILLOW</t>
  </si>
  <si>
    <t>1120576GOLD12X16</t>
  </si>
  <si>
    <t>807882530997</t>
  </si>
  <si>
    <t>MAE CHAMPAGNE</t>
  </si>
  <si>
    <t>TH022412001MDS</t>
  </si>
  <si>
    <t>THRO/JIMCO LAMP &amp; MANUFACTURING CO</t>
  </si>
  <si>
    <t>846339096235</t>
  </si>
  <si>
    <t>CONSTANTINE - WINDOW</t>
  </si>
  <si>
    <t>23380252LSCV</t>
  </si>
  <si>
    <t>MEDIUN RED</t>
  </si>
  <si>
    <t>42694385193</t>
  </si>
  <si>
    <t>CHERISH OXFORDTAN 20X34</t>
  </si>
  <si>
    <t>Y3260-630-020034</t>
  </si>
  <si>
    <t>34X20</t>
  </si>
  <si>
    <t>AMERICAN RUG-MOHAWK INDUSTRIES</t>
  </si>
  <si>
    <t>FABRIC: POLYESTER; LATEX BACK</t>
  </si>
  <si>
    <t>86569904690</t>
  </si>
  <si>
    <t>ELENA 38X46 VLC BRONZE</t>
  </si>
  <si>
    <t>MP41-4955</t>
  </si>
  <si>
    <t>DARKYELLOW</t>
  </si>
  <si>
    <t>FAUX-SILK FABRIC: POLYESTER</t>
  </si>
  <si>
    <t>732996459776</t>
  </si>
  <si>
    <t>MS SNWMN HKD RUG 2X3 BASIC</t>
  </si>
  <si>
    <t>MARTHA STEWART-MMG</t>
  </si>
  <si>
    <t>750105144597</t>
  </si>
  <si>
    <t>MS COOL FIRM S</t>
  </si>
  <si>
    <t>10026340QN</t>
  </si>
  <si>
    <t>732995740387</t>
  </si>
  <si>
    <t>EMB FLOWERS SHAM</t>
  </si>
  <si>
    <t>100037785ST</t>
  </si>
  <si>
    <t>42694385148</t>
  </si>
  <si>
    <t>CHERISH SEDONA RED 17X24</t>
  </si>
  <si>
    <t>Y3260-286-017024</t>
  </si>
  <si>
    <t>29927474060</t>
  </si>
  <si>
    <t>CURTAIN BASIC</t>
  </si>
  <si>
    <t>732994459433</t>
  </si>
  <si>
    <t>CHENILLE MED SHAM</t>
  </si>
  <si>
    <t>CHNLLIVST</t>
  </si>
  <si>
    <t>52501878299</t>
  </si>
  <si>
    <t>WASH REFLECTIONS SKY BASIC</t>
  </si>
  <si>
    <t>LINTEX LINENS/COBRA TRADING CORP</t>
  </si>
  <si>
    <t>FABRIC: COTTON/POLYESTER</t>
  </si>
  <si>
    <t>83013208854</t>
  </si>
  <si>
    <t>SEREN KG COMF SET</t>
  </si>
  <si>
    <t>2A0-004C0-4763</t>
  </si>
  <si>
    <t>FABRIC AND FILL: POLYESTER</t>
  </si>
  <si>
    <t>675716624910</t>
  </si>
  <si>
    <t>MP QUEBEC BSDSET K KK</t>
  </si>
  <si>
    <t>MP13-1566</t>
  </si>
  <si>
    <t>POLYESTER; BEDSPREAD FILL: COTTON/POLYESTER</t>
  </si>
  <si>
    <t>732994008310</t>
  </si>
  <si>
    <t>JOSH TREE FQ COMF SET BASIC</t>
  </si>
  <si>
    <t>10019503FQ</t>
  </si>
  <si>
    <t>FABRIC: COTTON; POLYESTER FILL</t>
  </si>
  <si>
    <t>726895207385</t>
  </si>
  <si>
    <t>16X20 TUFT CHECK DEC</t>
  </si>
  <si>
    <t>86569247537</t>
  </si>
  <si>
    <t>SHERPA COMFORTER</t>
  </si>
  <si>
    <t>MCH10-1459</t>
  </si>
  <si>
    <t>732994569293</t>
  </si>
  <si>
    <t>DEC VELVET EURO PK</t>
  </si>
  <si>
    <t>VLTEUROPK</t>
  </si>
  <si>
    <t>679610807905</t>
  </si>
  <si>
    <t>AMALINA GREY 4PC T/TXL</t>
  </si>
  <si>
    <t>FABRIC: POLYESTER; POLYESTER FILL 90 GRAMS PER SQUARE METER</t>
  </si>
  <si>
    <t>191956094912</t>
  </si>
  <si>
    <t>PARROT PARADISE PILLOW BASIC</t>
  </si>
  <si>
    <t>61960-OTHRP16</t>
  </si>
  <si>
    <t>DENY DESIGNS</t>
  </si>
  <si>
    <t>POLYESTER COVER AND FILL</t>
  </si>
  <si>
    <t>86569249395</t>
  </si>
  <si>
    <t>MCH10-1455</t>
  </si>
  <si>
    <t>RTCOMFORTE</t>
  </si>
  <si>
    <t>FRONT, BACK &amp; FILL: POLYESTER</t>
  </si>
  <si>
    <t>86569247513</t>
  </si>
  <si>
    <t>MCH10-1458</t>
  </si>
  <si>
    <t>735732541575</t>
  </si>
  <si>
    <t>CHV 3PC FUQU QLT BLU</t>
  </si>
  <si>
    <t>CHV-3QT-FUQU-MA-INKB</t>
  </si>
  <si>
    <t>SHELL: POLYESTER MICROFIBER; FILL: POLYESTER</t>
  </si>
  <si>
    <t>734737580473</t>
  </si>
  <si>
    <t>DESSI MULTI 20X20</t>
  </si>
  <si>
    <t>20144507D3</t>
  </si>
  <si>
    <t>100% SILK</t>
  </si>
  <si>
    <t>734737580459</t>
  </si>
  <si>
    <t>MEREDITH MULTI 20X20</t>
  </si>
  <si>
    <t>20144507C9</t>
  </si>
  <si>
    <t>734737580480</t>
  </si>
  <si>
    <t>BARRET MULTI 20X20</t>
  </si>
  <si>
    <t>734737580466</t>
  </si>
  <si>
    <t>LANIE MULTI 20X20</t>
  </si>
  <si>
    <t>20144507D2</t>
  </si>
  <si>
    <t>83013184592</t>
  </si>
  <si>
    <t>LAURYN SQ DEC</t>
  </si>
  <si>
    <t>2A0-590C0-8020</t>
  </si>
  <si>
    <t>706257996294</t>
  </si>
  <si>
    <t>KNIT DEC 20X20 NAVY</t>
  </si>
  <si>
    <t>D2020KNTNA</t>
  </si>
  <si>
    <t>CHARTER CLUB/SHANGHAI SUNWIN IN</t>
  </si>
  <si>
    <t>608356979256</t>
  </si>
  <si>
    <t>OUTLINE GEO DEC 18X18 BLK</t>
  </si>
  <si>
    <t>COTTON; FILL: POLYESTER</t>
  </si>
  <si>
    <t>734737580497</t>
  </si>
  <si>
    <t>ALESSIA MULTI 12X20</t>
  </si>
  <si>
    <t>20144510G</t>
  </si>
  <si>
    <t>83013300251</t>
  </si>
  <si>
    <t>DAPHNE FASH DEC BASIC</t>
  </si>
  <si>
    <t>2A0-582C0-1442</t>
  </si>
  <si>
    <t>16X16</t>
  </si>
  <si>
    <t>190714238230</t>
  </si>
  <si>
    <t>SKYLER PILLOW</t>
  </si>
  <si>
    <t>1119626MULTI20X20</t>
  </si>
  <si>
    <t>COTTON/FOIL</t>
  </si>
  <si>
    <t>706257209011</t>
  </si>
  <si>
    <t>GEO DEC 18X18 MINT</t>
  </si>
  <si>
    <t>D1818GEMNT</t>
  </si>
  <si>
    <t>679610786170</t>
  </si>
  <si>
    <t>KNIT THROW GRAY BASIC</t>
  </si>
  <si>
    <t>ACRYLIC</t>
  </si>
  <si>
    <t>679610786187</t>
  </si>
  <si>
    <t>KNIT THROW BEIGE BASIC</t>
  </si>
  <si>
    <t>807882465404</t>
  </si>
  <si>
    <t>MULTI CHI CHI CHEETAH BASIC</t>
  </si>
  <si>
    <t>TH019049001MDS</t>
  </si>
  <si>
    <t>679610782899</t>
  </si>
  <si>
    <t>MERMAID DEC BLACK/BLUE BASIC</t>
  </si>
  <si>
    <t>Ella Jayne Luxury 2 Loft Down Plush Feat White King</t>
  </si>
  <si>
    <t>848742081778</t>
  </si>
  <si>
    <t>Lush Decor Reyna 3Pc King Comforter Set Lake Blue King</t>
  </si>
  <si>
    <t>16T003864</t>
  </si>
  <si>
    <t>675716748203</t>
  </si>
  <si>
    <t>Madison Park Essentials Essentials Jelena Queen 24-Pc. Seafoam Queen</t>
  </si>
  <si>
    <t>MPE10-229</t>
  </si>
  <si>
    <t>COMFORTER/SHAM/BEDSKIRT DROP/PLATFORM/PILLOW/WINDOW PANEL/TIEBACKS/VALANCE/EUROPEAN SHAM: POLYESTER; SHEETS: POLYESTER 85 GRAMS PER SQUARE METER; COMFORTER/SHAM FILL: POLYESTER 270 GRAMS PER SQUARE METER; PILLOW FILL: POLYESTER</t>
  </si>
  <si>
    <t>675716702946</t>
  </si>
  <si>
    <t>Madison Park Palmer Microsuede 7-Pc. King C Blue King</t>
  </si>
  <si>
    <t>MP10-2264</t>
  </si>
  <si>
    <t>COMFORTER/SHAM: POLYESTER; REVERSES TO BRUSHED POLYESTER COMFORTER FILL: POLYESTERBED SKIRT: POLYESTER PILLOWS: POLYESTER COVER; FILL: POLYESTER</t>
  </si>
  <si>
    <t>819254021002</t>
  </si>
  <si>
    <t>Brown Grey Strata Dark Charcoal 8-piece B Brown King</t>
  </si>
  <si>
    <t>BG180230214</t>
  </si>
  <si>
    <t>SARA B R27EN/NEW SEGA HOME TEXTILES</t>
  </si>
  <si>
    <t>86569092670</t>
  </si>
  <si>
    <t>JLA Home Stellar Space 100 Cotton Comf Blue FullQueen</t>
  </si>
  <si>
    <t>MCH10-775</t>
  </si>
  <si>
    <t>FACE AND BACK: COTTON; FILLING: POLYESTER 144 THREAD COUNT</t>
  </si>
  <si>
    <t>879421010000</t>
  </si>
  <si>
    <t>Nanshing Corell Black 7-Piece Full Comf Blackred Full</t>
  </si>
  <si>
    <t>CORELL7-F</t>
  </si>
  <si>
    <t>636193257596</t>
  </si>
  <si>
    <t>Martha Stewart Collection Reversible 2-Pc. Oatmeal Twin Oatmeal Twin</t>
  </si>
  <si>
    <t>CTLNTNTWC</t>
  </si>
  <si>
    <t>MARTHA STEWART-EDI/YUNUS TEXTILES</t>
  </si>
  <si>
    <t>849986037477</t>
  </si>
  <si>
    <t>Sleep Trends Sleep Trends Defend-A-Bed Delu White King</t>
  </si>
  <si>
    <t>MP0002-1160</t>
  </si>
  <si>
    <t>CLASSIC BRANDS LLC</t>
  </si>
  <si>
    <t>886087296815</t>
  </si>
  <si>
    <t>Lauren Ralph Lauren Graydon Ticking Stripe 20 Squ Dune And Nantucket Red</t>
  </si>
  <si>
    <t>LAUREN BEDDNG</t>
  </si>
  <si>
    <t>COTTON SHELL/FEATHERS INSERT</t>
  </si>
  <si>
    <t>675716783853</t>
  </si>
  <si>
    <t>Intelligent Design Anika 5-Pc. FullQueen Comfort Purple FullQueen</t>
  </si>
  <si>
    <t>ID10-922</t>
  </si>
  <si>
    <t>COMFORTER/SHAM/PILLOW: POLYESTER; COMFORTER/SHAM FILL: POLYESTER 200 GRAMS PER SQUARE METER; PILLOW FILL: COTTON</t>
  </si>
  <si>
    <t>732995297041</t>
  </si>
  <si>
    <t>MARTINA MINT FL SS</t>
  </si>
  <si>
    <t>100049982FL</t>
  </si>
  <si>
    <t>SKY TEXTILES-BLM</t>
  </si>
  <si>
    <t>MADE IN INDIA</t>
  </si>
  <si>
    <t>PIMA COTTON</t>
  </si>
  <si>
    <t>28828984180</t>
  </si>
  <si>
    <t>WestPoint Home Martex Reversible King Comfort KhakiChocolate King</t>
  </si>
  <si>
    <t>AYTZAC69229</t>
  </si>
  <si>
    <t>HONEY</t>
  </si>
  <si>
    <t>WESTPOINT HOME INC</t>
  </si>
  <si>
    <t>783048021113</t>
  </si>
  <si>
    <t>Truly Soft Truly Soft Pleated White Twin White TwinTwin XL</t>
  </si>
  <si>
    <t>CS1969WTTX-1500</t>
  </si>
  <si>
    <t>732994569286</t>
  </si>
  <si>
    <t>Martha Stewart Collection Quilted Velvet 26 Square Deco Ivory European</t>
  </si>
  <si>
    <t>VLTEUROIV</t>
  </si>
  <si>
    <t>83013225134</t>
  </si>
  <si>
    <t>Croscill Croscill Boutique Adriel Boudi Ivory</t>
  </si>
  <si>
    <t>2B0-545C0-9978</t>
  </si>
  <si>
    <t>636206357312</t>
  </si>
  <si>
    <t>Martha Stewart Collection 300-Thread Count 4-Pc. Full Sh Natural Ivory Full</t>
  </si>
  <si>
    <t>T3ORGFLALM</t>
  </si>
  <si>
    <t>ALL COTTON</t>
  </si>
  <si>
    <t>675716957254</t>
  </si>
  <si>
    <t>Madison Park Harper 42 x 216 Solid Crushe Grey 42x216</t>
  </si>
  <si>
    <t>MP40-4505</t>
  </si>
  <si>
    <t>675716957292</t>
  </si>
  <si>
    <t>Madison Park Harper 42 x 216 Solid Crushe White 42x216</t>
  </si>
  <si>
    <t>MP40-4511</t>
  </si>
  <si>
    <t>675716958688</t>
  </si>
  <si>
    <t>Madison Park Harper 42 x 84 Solid Crushed Cream 42x84</t>
  </si>
  <si>
    <t>MP40-4525</t>
  </si>
  <si>
    <t>734737619395</t>
  </si>
  <si>
    <t>Fairfield Square Collection Viola Reversible 8-Pc. Comfort Pink Twin</t>
  </si>
  <si>
    <t>675716573065</t>
  </si>
  <si>
    <t>Madison Park Madison Park Andora 50 x 84 Blue 50x84</t>
  </si>
  <si>
    <t>MP40-1295</t>
  </si>
  <si>
    <t>675716957247</t>
  </si>
  <si>
    <t>Madison Park Harper 42 x 144 Solid Crushe Grey 42x144</t>
  </si>
  <si>
    <t>MP40-4504</t>
  </si>
  <si>
    <t>675716976705</t>
  </si>
  <si>
    <t>Mi Zone Mi Zone Kids Wise Wendy 50 x Multi 50x84</t>
  </si>
  <si>
    <t>MZK40-140</t>
  </si>
  <si>
    <t>POLYESTER; 3 PASS FOAMBACK LINING</t>
  </si>
  <si>
    <t>190714293994</t>
  </si>
  <si>
    <t>Lacourte Love Is Love 14 x 24 Decorat Champagne 14x24</t>
  </si>
  <si>
    <t>1122753CHAMP14X24</t>
  </si>
  <si>
    <t>706254638166</t>
  </si>
  <si>
    <t>Martha Stewart Collection Tiger 14 x 20 Decorative Pil Blue 14x20</t>
  </si>
  <si>
    <t>14X20</t>
  </si>
  <si>
    <t>706254638159</t>
  </si>
  <si>
    <t>Martha Stewart Collection Elephant 18 x 18 Decorative White</t>
  </si>
  <si>
    <t>86569928405</t>
  </si>
  <si>
    <t>Madison Park Clay 3-Pc. KingCalifornia Kin Grey KingCalifornia King</t>
  </si>
  <si>
    <t>MPE12-656</t>
  </si>
  <si>
    <t>FABRIC: POLYESTER 85 GSM</t>
  </si>
  <si>
    <t>190714257699</t>
  </si>
  <si>
    <t>Lacourte 2-Pk. Happiness is Homemade 14 Gray</t>
  </si>
  <si>
    <t>1120584GREYONESZ</t>
  </si>
  <si>
    <t>783048052629</t>
  </si>
  <si>
    <t>Oceanfront Resort Oceanfront Resort Chambray Coa Whitegrey 18x18</t>
  </si>
  <si>
    <t>CF2364NTDP-1400</t>
  </si>
  <si>
    <t>PILLOW FACE IS 100% COTTON CHAMBRAY FABRIC AND THE ITEM IS FILLED WITH 100% POLYESTER.</t>
  </si>
  <si>
    <t>190714257750</t>
  </si>
  <si>
    <t>Lacourte Dayrose Cotton 20 x 20 Decor Multi 20x20</t>
  </si>
  <si>
    <t>1120589MULTI20X20</t>
  </si>
  <si>
    <t>788904130633</t>
  </si>
  <si>
    <t>Royal Luxe Royal Luxe Microfiber Color Do Khaki FullQueen</t>
  </si>
  <si>
    <t>COVER: POLYESTER; FILL: HYP-ALLERGENIC POLYESTER FIBERFILL</t>
  </si>
  <si>
    <t>788904130602</t>
  </si>
  <si>
    <t>Royal Luxe Royal Luxe Microfiber Color Do Sage FullQueen</t>
  </si>
  <si>
    <t>190714256852</t>
  </si>
  <si>
    <t>Lacourte Grace Faux-Haircalf 20 x 20 Multi 18x18</t>
  </si>
  <si>
    <t>1120537MULTI20X20</t>
  </si>
  <si>
    <t>190714145057</t>
  </si>
  <si>
    <t>Lacourte Handcrafted Reversible Solid C Mocha 20x20</t>
  </si>
  <si>
    <t>1114124MOC20X20</t>
  </si>
  <si>
    <t>BRGHT YELL</t>
  </si>
  <si>
    <t>POLYESTER; FEATHER FILLED</t>
  </si>
  <si>
    <t>190714257538</t>
  </si>
  <si>
    <t>Lacourte Rimmer Cotton 24 x 14 Decora Blush 14x24</t>
  </si>
  <si>
    <t>1120570BLUSH14X24</t>
  </si>
  <si>
    <t>LT/PASPINK</t>
  </si>
  <si>
    <t>608356097707</t>
  </si>
  <si>
    <t>Charter Club Damask Designs 12 x 18 Decor Home 12x18</t>
  </si>
  <si>
    <t>726895203769</t>
  </si>
  <si>
    <t>Charter Club Damask Designs Diamond Dot Cot Coral 18x18</t>
  </si>
  <si>
    <t>190714256876</t>
  </si>
  <si>
    <t>Lacourte 2-Pk. Charleston Black 20 x 2 Black 18x18</t>
  </si>
  <si>
    <t>1120539BLK20X20</t>
  </si>
  <si>
    <t>628961000107</t>
  </si>
  <si>
    <t>Kensington Garden Rainbow Stripe 20 x 20 Decor Multi 18x18</t>
  </si>
  <si>
    <t>JET8923</t>
  </si>
  <si>
    <t>679610782790</t>
  </si>
  <si>
    <t>Hallmart Collectibles Mermaid Colorblocked Silver SilverGold 18x18</t>
  </si>
  <si>
    <t>679610782806</t>
  </si>
  <si>
    <t>Hallmart Collectibles Mermaid Colorblocked Silver SilverBlack 18x18</t>
  </si>
  <si>
    <t>679610782820</t>
  </si>
  <si>
    <t>Hallmart Collectibles Mermaid Colorblocked White G WhiteGold 18x18</t>
  </si>
  <si>
    <t>750105040363</t>
  </si>
  <si>
    <t>Eddie Bauer Eddie Bauer Lightweight Oversi White King</t>
  </si>
  <si>
    <t>KOHCO0090WK</t>
  </si>
  <si>
    <t>DOWN LITE INTERNATIONAL</t>
  </si>
  <si>
    <t>350TC COTTON; HYPOALLERGENIC 700 FILL POWER WHITE GOOSE DOWN</t>
  </si>
  <si>
    <t>846339047664</t>
  </si>
  <si>
    <t>J Queen New York Napoleon Gold Queen Comforter Gold Queen</t>
  </si>
  <si>
    <t>1804030QCS</t>
  </si>
  <si>
    <t>86569967589</t>
  </si>
  <si>
    <t>Madison Park Essentials Essentials Joella Queen 24-Pc. Plum Queen</t>
  </si>
  <si>
    <t>MPE10-698</t>
  </si>
  <si>
    <t>96675810532</t>
  </si>
  <si>
    <t>SensorGel 2 Gel Swirl Memory Foam Mattr Blue Swirl King</t>
  </si>
  <si>
    <t>NO COVER</t>
  </si>
  <si>
    <t>675716407476</t>
  </si>
  <si>
    <t>Madison Park Palmer Microsuede 7-Pc. Califo Plum California King</t>
  </si>
  <si>
    <t>MP10-306</t>
  </si>
  <si>
    <t>675716279004</t>
  </si>
  <si>
    <t>Madison Park Amherst 7-Pc. Queen Comforter Red Queen</t>
  </si>
  <si>
    <t>MP10-037</t>
  </si>
  <si>
    <t>COMFORTER/SHAM/BEDSKIRT/PILLOW COVER: POLYESTER; COMFORTER/PILLOW FILL: POLYESTER</t>
  </si>
  <si>
    <t>675716611507</t>
  </si>
  <si>
    <t>Madison Park Cali 6-Pc. Quilted KingCalifo Blue KingCalifornia King</t>
  </si>
  <si>
    <t>MP13-1522</t>
  </si>
  <si>
    <t>COVERLET AND SHAMS FACE: MICROFIBER FROM POLYESTER; POLYESTER REVERSE; DECORATIVE PILLOWS: POLYESTER; POLYESTER FILL; COVERLET FILL: COTTON/POLYESTER/OTHER FIBERS 200 GRAMS PER SQUARE METER</t>
  </si>
  <si>
    <t>675716320812</t>
  </si>
  <si>
    <t>Madison Park Madison Park Quebec 3-Piece Ki Seafoam KingCalifornia King</t>
  </si>
  <si>
    <t>MP13-154</t>
  </si>
  <si>
    <t>675716784140</t>
  </si>
  <si>
    <t>Madison Park Zuri 4-Pc. FullQueen Comforte Tan FullQueen</t>
  </si>
  <si>
    <t>MP10-3072</t>
  </si>
  <si>
    <t>706257635742</t>
  </si>
  <si>
    <t>Martha Stewart Collection You Compleat Me White 3-Pc. Fu White FullQueen</t>
  </si>
  <si>
    <t>UCMPLTWFQC</t>
  </si>
  <si>
    <t>849657009055</t>
  </si>
  <si>
    <t>Rod Desyne Twine Single Curtain Rod 48 - Black 48-84in</t>
  </si>
  <si>
    <t>100-22-482</t>
  </si>
  <si>
    <t>STEEL ROD AND RESIN FINIALS</t>
  </si>
  <si>
    <t>726895623208</t>
  </si>
  <si>
    <t>Charter Club Damask Designs Reversible Wind Poppy Throw</t>
  </si>
  <si>
    <t>784857861044</t>
  </si>
  <si>
    <t>Idea Nuova Holiday Truck 17-Pc. Bath Set Red No Size</t>
  </si>
  <si>
    <t>YK688816</t>
  </si>
  <si>
    <t>IDEA NUOVA INC</t>
  </si>
  <si>
    <t>608356646691</t>
  </si>
  <si>
    <t>Lucky Brand Cotton Tile Seed Stitch Europe Grey European Sham</t>
  </si>
  <si>
    <t>10028950ER</t>
  </si>
  <si>
    <t>10482323528</t>
  </si>
  <si>
    <t>Dream Space Diamond Matelasse Box spring Ivory Queen</t>
  </si>
  <si>
    <t>DRM162XXIVOR03</t>
  </si>
  <si>
    <t>76389012620</t>
  </si>
  <si>
    <t>CHF Window Treatments, Kendall 52 Ivory 52x108</t>
  </si>
  <si>
    <t>1-803708IV</t>
  </si>
  <si>
    <t>26 SGL</t>
  </si>
  <si>
    <t>CHF INDUSTRIES INC</t>
  </si>
  <si>
    <t>885308404381</t>
  </si>
  <si>
    <t>Waverly Waverly Sanctuary Rose Floral Clay ONE SIZE</t>
  </si>
  <si>
    <t>15398052084CLY</t>
  </si>
  <si>
    <t>810029192958</t>
  </si>
  <si>
    <t>HLC.me Lumino by HLC.me Perth Semi Sh Gold 54x84</t>
  </si>
  <si>
    <t>CB-0LZO-KSCB</t>
  </si>
  <si>
    <t>SAKATTA INC</t>
  </si>
  <si>
    <t>86569111388</t>
  </si>
  <si>
    <t>JLA Home Isabella 72 x 72 Shower Curt Red 72X72</t>
  </si>
  <si>
    <t>MCH70-1003</t>
  </si>
  <si>
    <t>732995003758</t>
  </si>
  <si>
    <t>Lucky Brand Hayden Cotton 230-Thread Count Gold European Sham</t>
  </si>
  <si>
    <t>100039286ER</t>
  </si>
  <si>
    <t>675716969318</t>
  </si>
  <si>
    <t>Madison Park Cecily Printed Grommet 50 x 8 Grey 50x84</t>
  </si>
  <si>
    <t>MP40-4609</t>
  </si>
  <si>
    <t>42437002431</t>
  </si>
  <si>
    <t>Kenney Jillian 12 Window Curtain Ro Brown Marble 48-86in</t>
  </si>
  <si>
    <t>KN55181REM</t>
  </si>
  <si>
    <t>KENNEY MANUFACTURING COMPANY</t>
  </si>
  <si>
    <t>733002396900</t>
  </si>
  <si>
    <t>Charter Club Damask Stripe 500 Thread Cou Palmetto</t>
  </si>
  <si>
    <t>DMP58SH787</t>
  </si>
  <si>
    <t>885308404404</t>
  </si>
  <si>
    <t>15398052063CLY</t>
  </si>
  <si>
    <t>732995003734</t>
  </si>
  <si>
    <t>Lucky Brand Woodblock Stripe Cotton 230-Th Terracotta European Sham</t>
  </si>
  <si>
    <t>100039283ER</t>
  </si>
  <si>
    <t>679610793147</t>
  </si>
  <si>
    <t>Hallmart Collectibles Beige Printed 20 Square Decor BeigeIvory 20x20</t>
  </si>
  <si>
    <t>SHELL: COTTON; FEATHER FILL</t>
  </si>
  <si>
    <t>29927435122</t>
  </si>
  <si>
    <t>Sun Zero Lichtenberg Sun Zero Grant Sol Brick 54x84</t>
  </si>
  <si>
    <t>GRANT</t>
  </si>
  <si>
    <t>DARK RED</t>
  </si>
  <si>
    <t>25521182455</t>
  </si>
  <si>
    <t>Charter Club Sleep Cloud Down Alternative S White King</t>
  </si>
  <si>
    <t>18245FN</t>
  </si>
  <si>
    <t>CHARTER CLUB-EDI/PACIFIC COAST FTHR</t>
  </si>
  <si>
    <t>300-THREAD COUNT COTTON COVER; POLYESTER FILL</t>
  </si>
  <si>
    <t>726895387087</t>
  </si>
  <si>
    <t>Charter Club Damask Pima Cotton 550-Thread Pale Lilac King Sham</t>
  </si>
  <si>
    <t>DLLSLKGHLIL</t>
  </si>
  <si>
    <t>746885368926</t>
  </si>
  <si>
    <t>Miller Curtains Window Treatments, Preston Rod Dijon 51x95</t>
  </si>
  <si>
    <t>WC70344413995</t>
  </si>
  <si>
    <t>32281205515</t>
  </si>
  <si>
    <t>HARRY POTTER SEC YR TW C</t>
  </si>
  <si>
    <t>JF20551BBCD</t>
  </si>
  <si>
    <t>32281274511</t>
  </si>
  <si>
    <t>STAR WARS CL SPACE BATTL</t>
  </si>
  <si>
    <t>JF27451BBCD</t>
  </si>
  <si>
    <t>709271388076</t>
  </si>
  <si>
    <t>CK WE DENIM KG DVT SET</t>
  </si>
  <si>
    <t>151COLO-KG-D1-D2</t>
  </si>
  <si>
    <t>NEO COLLECTNS</t>
  </si>
  <si>
    <t>CALVIN KLEIN HOME/HIMATSINGKA AMER</t>
  </si>
  <si>
    <t>846339080425</t>
  </si>
  <si>
    <t>ASTORIA WHT QN COMF SET</t>
  </si>
  <si>
    <t>2236020QCS</t>
  </si>
  <si>
    <t>675716845667</t>
  </si>
  <si>
    <t>LUCY K COMF SET RED</t>
  </si>
  <si>
    <t>MP10-3661</t>
  </si>
  <si>
    <t>COMFORTER/SHAMS: COTTON, REVERSES TO COTTON/POLYESTER; THREAD COUNT: 210; BEDSKIRT (DROP)/EURO SHAM: COTTON; BEDSKIRT (PLATFORM)/PILLOW FILL: POLYESTER; PILLOW: COTTON/POLYESTER, WITH COTTON COVER; COMFORTER FILL: POLYESTER 270 GRAMS PER SQUARE METER</t>
  </si>
  <si>
    <t>675716905040</t>
  </si>
  <si>
    <t>UH BROOKLYN PK F/Q CS</t>
  </si>
  <si>
    <t>UH10-0205</t>
  </si>
  <si>
    <t>COMFORTER/SHAM: COTTON JACQUARD FACE THREAD COUNT: COTTON REVERSE THREAD COUNT: DECORATIVE PILLOW: COTTON PERCALE EUROPEAN SHAM: COTTON WITH QUILTING TOP COMFORTER/PILLOW FILL: POLYESTER</t>
  </si>
  <si>
    <t>MP LAUREL BLUE KG CS</t>
  </si>
  <si>
    <t>732996747040</t>
  </si>
  <si>
    <t>DSK 550 SLD QDS BLU</t>
  </si>
  <si>
    <t>DLLSLQDSTEA</t>
  </si>
  <si>
    <t>ALL SUPIMA®COTTON</t>
  </si>
  <si>
    <t>675716567989</t>
  </si>
  <si>
    <t>MP KEATON CVST F/Q GY</t>
  </si>
  <si>
    <t>MP13-1238</t>
  </si>
  <si>
    <t>MICROFIBER FROM POLYESTER; COVERLET FILL: COTTON/POLYESTER</t>
  </si>
  <si>
    <t>ID ZOEY CMFS F/Q GY/SL</t>
  </si>
  <si>
    <t>848742069011</t>
  </si>
  <si>
    <t>LUSH DCOR INSULATED GROM</t>
  </si>
  <si>
    <t>16T002463</t>
  </si>
  <si>
    <t>675716878221</t>
  </si>
  <si>
    <t>KASEY K/CK COMF SET AQ</t>
  </si>
  <si>
    <t>MPE10-351</t>
  </si>
  <si>
    <t>675716965617</t>
  </si>
  <si>
    <t>ROBBIE TXL 7PC COMF SET BASIC</t>
  </si>
  <si>
    <t>ID10-1225</t>
  </si>
  <si>
    <t>86569005649</t>
  </si>
  <si>
    <t>RAINA DVS K/CK GY/SV</t>
  </si>
  <si>
    <t>ID12-1395</t>
  </si>
  <si>
    <t>22415465144</t>
  </si>
  <si>
    <t>ORGNC CTN MP Q</t>
  </si>
  <si>
    <t>100% COTTON TOP FABRIC</t>
  </si>
  <si>
    <t>849657000212</t>
  </si>
  <si>
    <t>COCO ORNAMENT DRAPERY RBASIC</t>
  </si>
  <si>
    <t>4802-487</t>
  </si>
  <si>
    <t>86569005113</t>
  </si>
  <si>
    <t>NASH COVERLET SET BASIC</t>
  </si>
  <si>
    <t>5DS13-0029</t>
  </si>
  <si>
    <t>COVERLET/SHAM FABRIC - 75GSM POLYESTER MICROFIBER, COVERLET FILL - 100% POLYESTER</t>
  </si>
  <si>
    <t>10482322897</t>
  </si>
  <si>
    <t>DRM MF DMSK DUVT SET DTB</t>
  </si>
  <si>
    <t>DRM637XXDTBL04</t>
  </si>
  <si>
    <t>844928000755</t>
  </si>
  <si>
    <t>Basic Matt Protect KING BASIC</t>
  </si>
  <si>
    <t>BAS0142</t>
  </si>
  <si>
    <t>PROTECT-A-BED/JAB DISTRIBUTORS LLC</t>
  </si>
  <si>
    <t>MAIN PANEL: POLYESTER; LINING: POLYURETHANE LAMINATE; SKIRT: POLYESTER, EXCLUSIVE OF ELASTIC</t>
  </si>
  <si>
    <t>191790011328</t>
  </si>
  <si>
    <t>GRY T950 CVC GRAYSON FL</t>
  </si>
  <si>
    <t>22202102082AQT</t>
  </si>
  <si>
    <t>AQ TEXTILES</t>
  </si>
  <si>
    <t>675716866211</t>
  </si>
  <si>
    <t>PIPELINE F/Q 4PC DUV SETBASIC</t>
  </si>
  <si>
    <t>MZ12-504</t>
  </si>
  <si>
    <t>DUVET COVER/SHAM/PILLOW COVER: POLYESTER; PILLOW FILL: POLYESTER</t>
  </si>
  <si>
    <t>746885357012</t>
  </si>
  <si>
    <t>ARIA 84"PNL WHITE BASIC</t>
  </si>
  <si>
    <t>MC00X70600184</t>
  </si>
  <si>
    <t>696445184575</t>
  </si>
  <si>
    <t>MEDALLION SHWR CRTN</t>
  </si>
  <si>
    <t>SIF-115</t>
  </si>
  <si>
    <t>27399025551</t>
  </si>
  <si>
    <t>VLLX MCRFLC KG BROWN</t>
  </si>
  <si>
    <t>A1C6PB69849</t>
  </si>
  <si>
    <t>680656143537</t>
  </si>
  <si>
    <t>URNDBL36BROWN BASIC</t>
  </si>
  <si>
    <t>DECOPOLITAN/BEME INTERNATIONAL LLC</t>
  </si>
  <si>
    <t>675716455934</t>
  </si>
  <si>
    <t>LARKSPUR T/TXL BR/SD CS</t>
  </si>
  <si>
    <t>BASI10-0195</t>
  </si>
  <si>
    <t>FABRIC: POLYESTER; 45-OZ. POLYESTER FILL</t>
  </si>
  <si>
    <t>732997750001</t>
  </si>
  <si>
    <t>ARCTIC FUR SPHERE</t>
  </si>
  <si>
    <t>100074019SP</t>
  </si>
  <si>
    <t>DEC PIL/THRWS</t>
  </si>
  <si>
    <t>HUDSON PARK</t>
  </si>
  <si>
    <t>783048023926</t>
  </si>
  <si>
    <t>TSE ORANGE KING DS</t>
  </si>
  <si>
    <t>DCS1657ORKG-18</t>
  </si>
  <si>
    <t>732997401491</t>
  </si>
  <si>
    <t>LEOPARD FUR SPHERE</t>
  </si>
  <si>
    <t>100074251SP</t>
  </si>
  <si>
    <t>746885385657</t>
  </si>
  <si>
    <t>KAILEY 50" X 95" GROMM BASIC</t>
  </si>
  <si>
    <t>MCKO69106295</t>
  </si>
  <si>
    <t>POLYESTER/LINEN</t>
  </si>
  <si>
    <t>81806449446</t>
  </si>
  <si>
    <t>LINDEN GREY 84 BASIC</t>
  </si>
  <si>
    <t>FZR02KCB2GRY</t>
  </si>
  <si>
    <t>FABRIC: COTTON/LINEN</t>
  </si>
  <si>
    <t>81806448234</t>
  </si>
  <si>
    <t>CHENILLE CHARCOAL 84 BASIC</t>
  </si>
  <si>
    <t>FZR02KBB2CHO</t>
  </si>
  <si>
    <t>607353650274</t>
  </si>
  <si>
    <t>210033TOPPER</t>
  </si>
  <si>
    <t>2100-33</t>
  </si>
  <si>
    <t>CONTINENTAL SLEEP/COMFORT BEDDING</t>
  </si>
  <si>
    <t>MATTRESS TOPPER</t>
  </si>
  <si>
    <t>746885385718</t>
  </si>
  <si>
    <t>FLYNN 50" X 108" GROMM BASIC</t>
  </si>
  <si>
    <t>MCKO690042108</t>
  </si>
  <si>
    <t>POLYESTER/RAMIE</t>
  </si>
  <si>
    <t>32281077570</t>
  </si>
  <si>
    <t>DSNY PRINCESS DREAM RUG BASIC</t>
  </si>
  <si>
    <t>JF07757MCD</t>
  </si>
  <si>
    <t>846339079061</t>
  </si>
  <si>
    <t>ESSEX WHITE 84 PANEL</t>
  </si>
  <si>
    <t>204302084PNG</t>
  </si>
  <si>
    <t>746885385794</t>
  </si>
  <si>
    <t>Arlen 50" x 108" Gromm BASIC</t>
  </si>
  <si>
    <t>MCKO692042108</t>
  </si>
  <si>
    <t>POLYESTER/COTTON/LINEN</t>
  </si>
  <si>
    <t>29927426373</t>
  </si>
  <si>
    <t>PAPR REGIS CURTAIN BASIC</t>
  </si>
  <si>
    <t>99446469373</t>
  </si>
  <si>
    <t>ACCENT DECOR NAVY 2X3</t>
  </si>
  <si>
    <t>WAV0WG012NAV024036</t>
  </si>
  <si>
    <t>47293354618</t>
  </si>
  <si>
    <t>CHAM SCROLL DRCs BASIC</t>
  </si>
  <si>
    <t>173925236C</t>
  </si>
  <si>
    <t>86093572778</t>
  </si>
  <si>
    <t>MHK DIAMOND 20X36 GREY</t>
  </si>
  <si>
    <t>V05500805</t>
  </si>
  <si>
    <t>36X3X20</t>
  </si>
  <si>
    <t>25695993376</t>
  </si>
  <si>
    <t>ECOSMART DOWNALT PLW</t>
  </si>
  <si>
    <t>99337-5679</t>
  </si>
  <si>
    <t>LAUREN RALPH LAUREN/HOLLANDER SLEEP</t>
  </si>
  <si>
    <t>100% COTTON; POLYESTER DOWN ALTERNATIVE FILL</t>
  </si>
  <si>
    <t>86093587598</t>
  </si>
  <si>
    <t>CC KAKADU BLK 2X3 BASIC</t>
  </si>
  <si>
    <t>CHARTER CLUB-MMG</t>
  </si>
  <si>
    <t>734737561427</t>
  </si>
  <si>
    <t>PETITE DIAMOND 20X36 RED</t>
  </si>
  <si>
    <t>R18939AR112036</t>
  </si>
  <si>
    <t>706256793450</t>
  </si>
  <si>
    <t>DISTRESSED CHEVRON QN CVBASIC</t>
  </si>
  <si>
    <t>DI22QC790</t>
  </si>
  <si>
    <t>HOTEL BY CC-EDI/RWI/SARITA HANDA</t>
  </si>
  <si>
    <t>FACE: COTTON/POLYESTER; REVERSE: COTTON; FILL: POLYESTER</t>
  </si>
  <si>
    <t>726895160994</t>
  </si>
  <si>
    <t>NAUTICAL SAIL KG QLT</t>
  </si>
  <si>
    <t>100037775KG</t>
  </si>
  <si>
    <t>608356076474</t>
  </si>
  <si>
    <t>LINEN NATURAL DP 12X24</t>
  </si>
  <si>
    <t>LN16DP1790</t>
  </si>
  <si>
    <t>LINEN, POLYESTER FILL</t>
  </si>
  <si>
    <t>859161000370</t>
  </si>
  <si>
    <t>SEED QUEEN DC SET BASIC</t>
  </si>
  <si>
    <t>JET8593</t>
  </si>
  <si>
    <t>706256037219</t>
  </si>
  <si>
    <t>WOVEN T RED DP 8X20</t>
  </si>
  <si>
    <t>WR16DP1790</t>
  </si>
  <si>
    <t>706255695151</t>
  </si>
  <si>
    <t>ECLIPSE DP 12X22</t>
  </si>
  <si>
    <t>EP17DP2790</t>
  </si>
  <si>
    <t>706256793245</t>
  </si>
  <si>
    <t>PLEATED STRIPE DP 22X22 BASIC</t>
  </si>
  <si>
    <t>PLS16DP1</t>
  </si>
  <si>
    <t>732994257206</t>
  </si>
  <si>
    <t>PAISLEY FQ 3PC COMF SET</t>
  </si>
  <si>
    <t>PAISLEYFQ</t>
  </si>
  <si>
    <t>FABRIC: 100% COTTON; THREAD COUNT: 230, REVERSES TO 144; POLYESTER FILL 251 GSM</t>
  </si>
  <si>
    <t>608356472948</t>
  </si>
  <si>
    <t>KNOT STRIPE TW COMF SET BASIC</t>
  </si>
  <si>
    <t>KNOTSTPTW</t>
  </si>
  <si>
    <t>COMFORTER: COTTON; POLYESTER FILL; SHAM: COTTON</t>
  </si>
  <si>
    <t>706258965565</t>
  </si>
  <si>
    <t>DMD EMB 22X22 DEC BASIC</t>
  </si>
  <si>
    <t>FABRIC: COTTON; FILL: POLYESTER</t>
  </si>
  <si>
    <t>706257531341</t>
  </si>
  <si>
    <t>LINEN CORN DP 14X24</t>
  </si>
  <si>
    <t>LF16DP1790</t>
  </si>
  <si>
    <t>HOTEL COLLECTION-EDI/FASHION ACCESS</t>
  </si>
  <si>
    <t>706257167755</t>
  </si>
  <si>
    <t>COL DUSK 12X26</t>
  </si>
  <si>
    <t>OD17DP3790</t>
  </si>
  <si>
    <t>HOTEL COLLECTION-EDI/RWI/PACFUNG</t>
  </si>
  <si>
    <t>706257167748</t>
  </si>
  <si>
    <t>COL DUSK DP 22X22</t>
  </si>
  <si>
    <t>OD15DP1790</t>
  </si>
  <si>
    <t>766360175696</t>
  </si>
  <si>
    <t>BASIC 800TC 7X24DEC WHT</t>
  </si>
  <si>
    <t>8TB16D2790</t>
  </si>
  <si>
    <t>EGYPTAIN COTTON; PILLOW SHELL: COTTON; FILLER: POLYURETHANE; COVERED WITH POLYESTER</t>
  </si>
  <si>
    <t>706255888898</t>
  </si>
  <si>
    <t>H TRKSH 21X34 BASIC</t>
  </si>
  <si>
    <t>HTRKSH2X3IV</t>
  </si>
  <si>
    <t>732994257190</t>
  </si>
  <si>
    <t>PAISLEY TW 3PC COMF SET</t>
  </si>
  <si>
    <t>PAISLEYTW</t>
  </si>
  <si>
    <t>FABRIC: 100% COTTON; THREAD COUNT: 230, REVERSES TO 144; POLYESTER FILL 250 GSM</t>
  </si>
  <si>
    <t>636193847490</t>
  </si>
  <si>
    <t>WOVEN TEXT 18X18 DEC</t>
  </si>
  <si>
    <t>WT17DP2790</t>
  </si>
  <si>
    <t>POLYESTER/COTTON; COTTON FILL</t>
  </si>
  <si>
    <t>726895980738</t>
  </si>
  <si>
    <t>HNYCM DEC 14X24</t>
  </si>
  <si>
    <t>LINEN/COTTON/POLYESTER.</t>
  </si>
  <si>
    <t>726895980721</t>
  </si>
  <si>
    <t>HNYCM DEC 22X22</t>
  </si>
  <si>
    <t>COTTON/POLYESTER.</t>
  </si>
  <si>
    <t>DEC VELVET EURO IV</t>
  </si>
  <si>
    <t>706255905922</t>
  </si>
  <si>
    <t>HTL FNST BTH ALOE BASIC</t>
  </si>
  <si>
    <t>HTLELITEBAL</t>
  </si>
  <si>
    <t>COTTON/MODAL</t>
  </si>
  <si>
    <t>628961000435</t>
  </si>
  <si>
    <t>WHITBY</t>
  </si>
  <si>
    <t>JET9196</t>
  </si>
  <si>
    <t>734737571891</t>
  </si>
  <si>
    <t>T350 BLUE PAISLY QN SS</t>
  </si>
  <si>
    <t>HOME AT LAST 2PK PLW BASIC</t>
  </si>
  <si>
    <t>DEC 18X18 ELEPHANT</t>
  </si>
  <si>
    <t>679610786163</t>
  </si>
  <si>
    <t>BASKETWEAVE THROW BEIGE BASIC</t>
  </si>
  <si>
    <t>190714113025</t>
  </si>
  <si>
    <t>POLY VELVET KNIT-2PK WHT</t>
  </si>
  <si>
    <t>1112021WHI2020</t>
  </si>
  <si>
    <t>706256945453</t>
  </si>
  <si>
    <t>GINGHAM DEC 14X18 BLK</t>
  </si>
  <si>
    <t>D1418CHKBL</t>
  </si>
  <si>
    <t>628961000015</t>
  </si>
  <si>
    <t>DUPIONI SILVER DEC PILLO</t>
  </si>
  <si>
    <t>JET8898</t>
  </si>
  <si>
    <t>42694307201</t>
  </si>
  <si>
    <t>MHK LSTR STRP CHOC 20X34</t>
  </si>
  <si>
    <t>Y316600877</t>
  </si>
  <si>
    <t>NYLON FACE; LATEX BACKING</t>
  </si>
  <si>
    <t>42694307171</t>
  </si>
  <si>
    <t>MHK LSTR STRP LINEN 20X34</t>
  </si>
  <si>
    <t>Y3166-630-020034</t>
  </si>
  <si>
    <t>734737595897</t>
  </si>
  <si>
    <t>METALLIC JACQUARD BROWN/</t>
  </si>
  <si>
    <t>20762507C2</t>
  </si>
  <si>
    <t>FACE : POLYESTER/ METALLIC ; REVERSE : POLYESTER/ LINEN.</t>
  </si>
  <si>
    <t>42694385179</t>
  </si>
  <si>
    <t>CHERISH CHOCOL 17X24</t>
  </si>
  <si>
    <t>Y3260-670-017024</t>
  </si>
  <si>
    <t>679610786200</t>
  </si>
  <si>
    <t>PLUSH THROW BEIGE BASIC</t>
  </si>
  <si>
    <t>679610775563</t>
  </si>
  <si>
    <t>77556 GREY DEC PILLOW BASIC</t>
  </si>
  <si>
    <t>732994994132</t>
  </si>
  <si>
    <t>CC PLAID RUG 19.3X34 BASIC</t>
  </si>
  <si>
    <t>CHARTER CLUB-MMG/WELSPUN USA</t>
  </si>
  <si>
    <t>840444150356</t>
  </si>
  <si>
    <t>ABERDEEN COMFORTER SET K</t>
  </si>
  <si>
    <t>CS5035-MC</t>
  </si>
  <si>
    <t>675716279035</t>
  </si>
  <si>
    <t>AMHERST K COMF SET RED</t>
  </si>
  <si>
    <t>MP10-038</t>
  </si>
  <si>
    <t>86569003287</t>
  </si>
  <si>
    <t>BROOKLYN CMFSET F/Q GY</t>
  </si>
  <si>
    <t>UH10-2160</t>
  </si>
  <si>
    <t>679610666205</t>
  </si>
  <si>
    <t>MURELL 7 PC QUEEN</t>
  </si>
  <si>
    <t>86569896636</t>
  </si>
  <si>
    <t>ZURI F/Q SAND COMF SET BASIC</t>
  </si>
  <si>
    <t>MP10-4860</t>
  </si>
  <si>
    <t>38992002191</t>
  </si>
  <si>
    <t>VAUGHN VALANCE</t>
  </si>
  <si>
    <t>CNVGHNW41805519</t>
  </si>
  <si>
    <t>COTTON; COTTON/POLYESTER FILL</t>
  </si>
  <si>
    <t>675716533878</t>
  </si>
  <si>
    <t>ID OLIVIA F/Q BL CS</t>
  </si>
  <si>
    <t>ID10-169</t>
  </si>
  <si>
    <t>COMFORTER: PRINTED POLYESTER PEACH SKIN; BRUSHED POLYESTER REVERSE; FILL: POLYESTER; SHAM: PRINTED POLYESTER PEACH SKIN; BRUSHED POLYESTER REVERSE; DECORATIVE PILLOW: FABRIC/FILL: POLYESTER</t>
  </si>
  <si>
    <t>675716998325</t>
  </si>
  <si>
    <t>FINN T/TXL CS GR/NY BASIC</t>
  </si>
  <si>
    <t>UHK10-0036</t>
  </si>
  <si>
    <t>COMFORTER FACE/SHAM FACE: COTTON; REVERSE: COTTON; PILLOW SHELL: COTTONCOMFORTER/PILLOW: POLYESTER FILL</t>
  </si>
  <si>
    <t>840444143266</t>
  </si>
  <si>
    <t>BIRMINGHAM NAVY QUEEN 3P</t>
  </si>
  <si>
    <t>QS4326-MC</t>
  </si>
  <si>
    <t>675716407704</t>
  </si>
  <si>
    <t>MZ PIPELINE NAVY F/Q CS</t>
  </si>
  <si>
    <t>MZ10-063</t>
  </si>
  <si>
    <t>COMFORTER: PRINTED POLYESTER PEACH SKIN; BRUSHED POLYESTER REVERSE; FILL: POLYESTER SHAM: PRINTED POLYESTER PEACH SKIN; BRUSHED POLYESTER REVERSE DECORATIVE PILLOW: FABRIC/FILL: POLYESTER</t>
  </si>
  <si>
    <t>675716575823</t>
  </si>
  <si>
    <t>ID NADIA TL F/Q CS</t>
  </si>
  <si>
    <t>ID10-232</t>
  </si>
  <si>
    <t>FABRIC/FILL: POLYESTER</t>
  </si>
  <si>
    <t>841643115757</t>
  </si>
  <si>
    <t>RERSE 12 13208</t>
  </si>
  <si>
    <t>DUCK RIVER TEXTILE</t>
  </si>
  <si>
    <t>86569092649</t>
  </si>
  <si>
    <t>OCN ADV COMF SET TW BASIC</t>
  </si>
  <si>
    <t>MCH10-770</t>
  </si>
  <si>
    <t>COTTON 144 THREAD COUNT; FILL: POLYESTER</t>
  </si>
  <si>
    <t>SG COOL FUSION MP Q</t>
  </si>
  <si>
    <t>846339089657</t>
  </si>
  <si>
    <t>233804684RP</t>
  </si>
  <si>
    <t>726895623253</t>
  </si>
  <si>
    <t>EMB BSK 12X24 DEC GRN</t>
  </si>
  <si>
    <t>675716346034</t>
  </si>
  <si>
    <t>HADLEY PLAID 26X26 ES MTBASIC</t>
  </si>
  <si>
    <t>WR11-082</t>
  </si>
  <si>
    <t>675716573164</t>
  </si>
  <si>
    <t>MP EMILIA WP BASIC</t>
  </si>
  <si>
    <t>MP40-1300</t>
  </si>
  <si>
    <t>783048998576</t>
  </si>
  <si>
    <t>TSE BURGUNDY KING DS</t>
  </si>
  <si>
    <t>DCS1657BUK-1800</t>
  </si>
  <si>
    <t>MP EMILIA BEIGE50X84 BASIC</t>
  </si>
  <si>
    <t>675716791124</t>
  </si>
  <si>
    <t>PC PARKER 20X20 PL GY</t>
  </si>
  <si>
    <t>BASI30-0430</t>
  </si>
  <si>
    <t>25695977031</t>
  </si>
  <si>
    <t>STD CK DASH PRT TWPK PLWBASIC</t>
  </si>
  <si>
    <t>97703-5679</t>
  </si>
  <si>
    <t>CALVIN KLEIN/HOLLANDER SLEEP PROD</t>
  </si>
  <si>
    <t>25521194908</t>
  </si>
  <si>
    <t>CK 2PK JAN STRIPE BASIC</t>
  </si>
  <si>
    <t>29927433425</t>
  </si>
  <si>
    <t>YELL CURTAIN BASIC</t>
  </si>
  <si>
    <t>29927440768</t>
  </si>
  <si>
    <t>SILVIA CURTAIN BASIC</t>
  </si>
  <si>
    <t>SILVIA</t>
  </si>
  <si>
    <t>34086749539</t>
  </si>
  <si>
    <t>SERTA PS 5IN1 ULTIMATE PBASIC</t>
  </si>
  <si>
    <t>AMERICAN FIBER IND/SPRINGS IND</t>
  </si>
  <si>
    <t>732996500591</t>
  </si>
  <si>
    <t>CC LAST ACT MED SQ BASIC</t>
  </si>
  <si>
    <t>100075938SQ</t>
  </si>
  <si>
    <t>CHARTER CLUB-EDI/DOWNLITE INT'L</t>
  </si>
  <si>
    <t>766380347189</t>
  </si>
  <si>
    <t>CC CLASSIC H WHI BASIC</t>
  </si>
  <si>
    <t>CCLASHWHI</t>
  </si>
  <si>
    <t>86569914217</t>
  </si>
  <si>
    <t>BRYSTOL CK RIAB TEAL</t>
  </si>
  <si>
    <t>MPE10-638</t>
  </si>
  <si>
    <t>675716961145</t>
  </si>
  <si>
    <t>BELLAGIO K COMF SET BR</t>
  </si>
  <si>
    <t>MP10-4534</t>
  </si>
  <si>
    <t>COMFORTER/SHAM: POLYESTER; 270 GRAMS PER SQUARE METER POLYESTER FILL; BEDSKIRT: MICROFIBER FROM POLYESTER; DECORATIVE PILLOWS: POLYESTER; POLYESTER FILL</t>
  </si>
  <si>
    <t>86569174840</t>
  </si>
  <si>
    <t>CASSANDRA CVT BH KCK</t>
  </si>
  <si>
    <t>MP13-6170</t>
  </si>
  <si>
    <t>COVERLET/SHAM: COTTON FACE, COTTON/POLYESTER BACK, POLYESTER/COTTON FILLING; DECORATIVE PILLOW: POLYESTER/COTTON COVER WITH POLYESTER FILLING</t>
  </si>
  <si>
    <t>679610723762</t>
  </si>
  <si>
    <t>ALEX 7PC KING SET</t>
  </si>
  <si>
    <t>675716961138</t>
  </si>
  <si>
    <t>BELLAGIO Q COMF SET BR</t>
  </si>
  <si>
    <t>MP10-4533</t>
  </si>
  <si>
    <t>675716897666</t>
  </si>
  <si>
    <t>STRATFORD Q COMF SET GY</t>
  </si>
  <si>
    <t>MP10-4138</t>
  </si>
  <si>
    <t>636189639801</t>
  </si>
  <si>
    <t>825TC QN FT MIST</t>
  </si>
  <si>
    <t>82T20QNFT</t>
  </si>
  <si>
    <t>QNBOTTOMFT</t>
  </si>
  <si>
    <t>HOTEL COLLECTION-MMG/HIMATSINGKA</t>
  </si>
  <si>
    <t>SUPIMA® COTTON</t>
  </si>
  <si>
    <t>726895161007</t>
  </si>
  <si>
    <t>NAUTICAL SAIL TW QLT</t>
  </si>
  <si>
    <t>100037775TW</t>
  </si>
  <si>
    <t>841323167823</t>
  </si>
  <si>
    <t>NELLI COMFORTER SET</t>
  </si>
  <si>
    <t>NEI5CSQUENGHTA</t>
  </si>
  <si>
    <t>GENEVA HOME FASHION LLC</t>
  </si>
  <si>
    <t>MICROFIBER POLYESTER</t>
  </si>
  <si>
    <t>25695954452</t>
  </si>
  <si>
    <t>LRL AAFA MP QN BASIC</t>
  </si>
  <si>
    <t>95445-5679</t>
  </si>
  <si>
    <t>706258629566</t>
  </si>
  <si>
    <t>INLAY KG BEDSKIRT BASIC</t>
  </si>
  <si>
    <t>IY20KBS790</t>
  </si>
  <si>
    <t>840444133434</t>
  </si>
  <si>
    <t>ORA WHITE QUEEN 3PC</t>
  </si>
  <si>
    <t>CS3343-MC</t>
  </si>
  <si>
    <t>636193933070</t>
  </si>
  <si>
    <t>HTL TXT FLT WV GREY 30X50</t>
  </si>
  <si>
    <t>COTTON; BACKING: SPRAY LATEX</t>
  </si>
  <si>
    <t>706254674973</t>
  </si>
  <si>
    <t>HTL S/C WAFFLE 72X72 BEIGE</t>
  </si>
  <si>
    <t>HWAFSCBG</t>
  </si>
  <si>
    <t>HOTEL BY CHARTER CLUB/DEWAN &amp; SONS</t>
  </si>
  <si>
    <t>886087125047</t>
  </si>
  <si>
    <t>RL PALMER-21X34 PALE SURF</t>
  </si>
  <si>
    <t>651195701N3E</t>
  </si>
  <si>
    <t>34X21</t>
  </si>
  <si>
    <t>COTTON/POLYESTER; LATEX BACKING</t>
  </si>
  <si>
    <t>810001364649</t>
  </si>
  <si>
    <t>VIL-QLT-STLBLU-K</t>
  </si>
  <si>
    <t>SOUTHSHORE FINE LIN/BARGAIN ONLINE</t>
  </si>
  <si>
    <t>DOUBLE - BRUSHED 110 GSM MICROFIBER</t>
  </si>
  <si>
    <t>21864277940</t>
  </si>
  <si>
    <t>AV GALAXY SLV S/C 72X72</t>
  </si>
  <si>
    <t>11933H</t>
  </si>
  <si>
    <t>675716957285</t>
  </si>
  <si>
    <t>MP HARPER 42X216 WPP SP BASIC</t>
  </si>
  <si>
    <t>MP40-4509</t>
  </si>
  <si>
    <t>675716502997</t>
  </si>
  <si>
    <t>MP ANDORA WHT50X95 BASIC</t>
  </si>
  <si>
    <t>MP40-718</t>
  </si>
  <si>
    <t>95 SGL</t>
  </si>
  <si>
    <t>636193932981</t>
  </si>
  <si>
    <t>HTL TXT FLT WV GREY 22X36</t>
  </si>
  <si>
    <t>36"X22"</t>
  </si>
  <si>
    <t>COTTON; SPRAY LATEX BACKING</t>
  </si>
  <si>
    <t>86569227874</t>
  </si>
  <si>
    <t>MS REV PLUSH AVOCADO TW</t>
  </si>
  <si>
    <t>10028644TW</t>
  </si>
  <si>
    <t>675716488444</t>
  </si>
  <si>
    <t>MP EMILIA BEIGE50X95 BASIC</t>
  </si>
  <si>
    <t>WIN40-122</t>
  </si>
  <si>
    <t>86569948816</t>
  </si>
  <si>
    <t>BENTLEY PANEL 50X84 CRALBASIC</t>
  </si>
  <si>
    <t>SS40-0062</t>
  </si>
  <si>
    <t>783048024046</t>
  </si>
  <si>
    <t>TSE KHAKI KING DS</t>
  </si>
  <si>
    <t>DCS1657KHKG-18</t>
  </si>
  <si>
    <t>86569994035</t>
  </si>
  <si>
    <t>II BEA 12X20 PILLOW IY</t>
  </si>
  <si>
    <t>II30-998</t>
  </si>
  <si>
    <t>675716953331</t>
  </si>
  <si>
    <t>EMILIA 50X26 VLC SPICE</t>
  </si>
  <si>
    <t>MP41-4451</t>
  </si>
  <si>
    <t>MP ARCTIC 50X60 THROW IY</t>
  </si>
  <si>
    <t>885308132048</t>
  </si>
  <si>
    <t>FRESNO THERMAWEAVE BASIC</t>
  </si>
  <si>
    <t>11353052X084WHT</t>
  </si>
  <si>
    <t>675716689247</t>
  </si>
  <si>
    <t>MP DELRAY KT BASIC</t>
  </si>
  <si>
    <t>MP40-2108</t>
  </si>
  <si>
    <t>60X5X24/2</t>
  </si>
  <si>
    <t>190714241186</t>
  </si>
  <si>
    <t>ARDAN 2PK PILLOW</t>
  </si>
  <si>
    <t>1119640BLUSH21X21</t>
  </si>
  <si>
    <t>POLYESTER LINEN</t>
  </si>
  <si>
    <t>190714241155</t>
  </si>
  <si>
    <t>1119640NAT21X21</t>
  </si>
  <si>
    <t>190714241179</t>
  </si>
  <si>
    <t>1119640GREY21X21</t>
  </si>
  <si>
    <t>675716943103</t>
  </si>
  <si>
    <t>MS FLEECE BERRY TW BASIC</t>
  </si>
  <si>
    <t>MCG51450</t>
  </si>
  <si>
    <t>81806449323</t>
  </si>
  <si>
    <t>RIPPLES WHITE 84 BASIC</t>
  </si>
  <si>
    <t>FZR02KNB2WHT</t>
  </si>
  <si>
    <t>675716952877</t>
  </si>
  <si>
    <t>CC PLUSH HOUND GREY</t>
  </si>
  <si>
    <t>MCG50469</t>
  </si>
  <si>
    <t>CHARTER CLUB-EDI/JLA HOME</t>
  </si>
  <si>
    <t>25695988518</t>
  </si>
  <si>
    <t>LRL LOGO 300TC COTTON LOBASIC</t>
  </si>
  <si>
    <t>98851-5679</t>
  </si>
  <si>
    <t>47596583982</t>
  </si>
  <si>
    <t>LNX LIVE FOR TDY 2PC FGRTP TWL</t>
  </si>
  <si>
    <t>80002PTTOWMLT</t>
  </si>
  <si>
    <t>LENOX/BARDWIL INDUSTRIES (602/672)</t>
  </si>
  <si>
    <t>29927248890</t>
  </si>
  <si>
    <t>LB 918 CALYPSO BASIC</t>
  </si>
  <si>
    <t>732996805849</t>
  </si>
  <si>
    <t>MS TONAL TREE TIP BASIC</t>
  </si>
  <si>
    <t>COTTON/VISCOSE</t>
  </si>
  <si>
    <t>41808629451</t>
  </si>
  <si>
    <t>CROCHET DEC PILLOWS BASIC</t>
  </si>
  <si>
    <t>80DECPILLOW</t>
  </si>
  <si>
    <t>14X14</t>
  </si>
  <si>
    <t>PEKING HANDICRAFT INC</t>
  </si>
  <si>
    <t>846339030161</t>
  </si>
  <si>
    <t>MARQUIS KG SET</t>
  </si>
  <si>
    <t>1519002KCS</t>
  </si>
  <si>
    <t>96675810105</t>
  </si>
  <si>
    <t>MS FOAM 2IN TOP QN</t>
  </si>
  <si>
    <t>10012103QN</t>
  </si>
  <si>
    <t>843145112531</t>
  </si>
  <si>
    <t>KING COMFORTER SET</t>
  </si>
  <si>
    <t>BCS12531</t>
  </si>
  <si>
    <t>86569104526</t>
  </si>
  <si>
    <t>ALTON F/Q COMFSET TP BASIC</t>
  </si>
  <si>
    <t>WR10-2417</t>
  </si>
  <si>
    <t>675716438883</t>
  </si>
  <si>
    <t>BELLAGIO F/Q CVT SET BR</t>
  </si>
  <si>
    <t>MP13-368</t>
  </si>
  <si>
    <t>COVERLET AND SHAM: POLYESTER; DECORATIVE PILLOWS: POLYESTER; POLYESTER FILL; COVERLET FILL: 5-OZ. COTTON</t>
  </si>
  <si>
    <t>732997452363</t>
  </si>
  <si>
    <t>732995740417</t>
  </si>
  <si>
    <t>EMB FLOWERS TW QLT</t>
  </si>
  <si>
    <t>100037831TW</t>
  </si>
  <si>
    <t>FABRIC: COTTON; THREAD COUNT: 140; POLYESTER FILL 120 GRAMS PER SQUARE METER</t>
  </si>
  <si>
    <t>SHERPA COMF SET</t>
  </si>
  <si>
    <t>86569271938</t>
  </si>
  <si>
    <t>PEARL CS FQ AQPU</t>
  </si>
  <si>
    <t>MZ10-0592</t>
  </si>
  <si>
    <t>675716533854</t>
  </si>
  <si>
    <t>ID OLIVIA F/Q PK CS</t>
  </si>
  <si>
    <t>ID10-167</t>
  </si>
  <si>
    <t>732994215947</t>
  </si>
  <si>
    <t>TILE GEO FQ DUV SET</t>
  </si>
  <si>
    <t>100023138FQ</t>
  </si>
  <si>
    <t>FABRIC: COTTON; THREAD COUNT: 300</t>
  </si>
  <si>
    <t>675716674823</t>
  </si>
  <si>
    <t>PEYTON T GR COMF SET BASIC</t>
  </si>
  <si>
    <t>BASI10-0339</t>
  </si>
  <si>
    <t>FABRIC: POLYESTER 220 GSM; COMFORTER FILL: POLYESTER</t>
  </si>
  <si>
    <t>635983499123</t>
  </si>
  <si>
    <t>SOFT PLUSH GEL FIBER BASIC</t>
  </si>
  <si>
    <t>BMI9453L6</t>
  </si>
  <si>
    <t>732994215749</t>
  </si>
  <si>
    <t>SPICE PAISLEY TW DUV SET</t>
  </si>
  <si>
    <t>100022743TW</t>
  </si>
  <si>
    <t>FABRIC: 100% PIMA COTTON</t>
  </si>
  <si>
    <t>819254022474</t>
  </si>
  <si>
    <t>FLTR CMF ST TW BASIC</t>
  </si>
  <si>
    <t>GK23FT0251</t>
  </si>
  <si>
    <t>735732189876</t>
  </si>
  <si>
    <t>CASA REAL 5PC DVT</t>
  </si>
  <si>
    <t>LOCATION</t>
  </si>
  <si>
    <t>LOT #</t>
  </si>
  <si>
    <t>CATEGORY</t>
  </si>
  <si>
    <t># OF PALLETS</t>
  </si>
  <si>
    <t>ORIGINAL COST</t>
  </si>
  <si>
    <t>ORIGINAL RETAIL</t>
  </si>
  <si>
    <t># OF UNITS</t>
  </si>
  <si>
    <t>STONE MOUNTAIN - CRC, STONE MOUNTAIN, GA</t>
  </si>
  <si>
    <t>TEXTILES</t>
  </si>
  <si>
    <t>TOTAL ORIGINAL COST</t>
  </si>
  <si>
    <t>TOTAL ORIGINAL RETAIL</t>
  </si>
  <si>
    <t>DIVISION</t>
  </si>
  <si>
    <t>MCY</t>
  </si>
  <si>
    <t>UPC</t>
  </si>
  <si>
    <t>ITEM DESCRIPTION</t>
  </si>
  <si>
    <t>ORIGINAL QTY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</si>
  <si>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</si>
  <si>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</si>
  <si>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</si>
  <si>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</si>
  <si>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</si>
  <si>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</si>
  <si>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</si>
  <si>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</si>
  <si>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86569252296</t>
  </si>
  <si>
    <t>Madison Park Essentials Essentials Joella King 24-Pc. Blush King</t>
  </si>
  <si>
    <t>MPE10-810</t>
  </si>
  <si>
    <t>MED PINK</t>
  </si>
  <si>
    <t>MOD BEDDING</t>
  </si>
  <si>
    <t>JLA HOME/E &amp; E CO LTD</t>
  </si>
  <si>
    <t>IMPORTED</t>
  </si>
  <si>
    <t>COMFORTER/SHAM/BEDSKIRT/EUROPEAN SHAM/PILLOW COVER/WINDOW PANELS/TIEBACKS/WINDOW VALANCE: POLYESTER; SHEET SET: POLYESTER 85 GRAMS PER SQUARE METER; COMFORTER FILL: POLYESTER 270 GRAMS PER SQUARE METER; PILLOW: POLYESTER FILL</t>
  </si>
  <si>
    <t>783048106568</t>
  </si>
  <si>
    <t>Pem America Coventry King Comforter Set Charcoal King</t>
  </si>
  <si>
    <t>CS3209CGK7-1300</t>
  </si>
  <si>
    <t>GRAY</t>
  </si>
  <si>
    <t>PEM AMERICA INC</t>
  </si>
  <si>
    <t>POLYESTER</t>
  </si>
  <si>
    <t>679610666212</t>
  </si>
  <si>
    <t>Riverbrook Home Murell 7 Pc King Comforter Set Plum King</t>
  </si>
  <si>
    <t>MED PURPLE</t>
  </si>
  <si>
    <t>HALLMART COLLECTIBLES INC</t>
  </si>
  <si>
    <t>FIBER: 100% POLYESTER EXCLUSIVE OF DECORATION, FILLING: 100% POLYESTER</t>
  </si>
  <si>
    <t>840008317911</t>
  </si>
  <si>
    <t>Lucid Dream Collection by LUCID 5-Zo Purple Queen</t>
  </si>
  <si>
    <t>DC20QQ30ZT</t>
  </si>
  <si>
    <t>PURPLE</t>
  </si>
  <si>
    <t>PILLWS&amp;PADS</t>
  </si>
  <si>
    <t>MALOUF/CVB INC</t>
  </si>
  <si>
    <t>MEMORY FOAM</t>
  </si>
  <si>
    <t>848742069059</t>
  </si>
  <si>
    <t>Lush Decor Lush Decor 84 x 52 Blackout Light Gray 52x84</t>
  </si>
  <si>
    <t>16T002467</t>
  </si>
  <si>
    <t>LT/PAS GRY</t>
  </si>
  <si>
    <t>DEC PILL/THRW</t>
  </si>
  <si>
    <t>LUSH DECOR/TRIANGLE HOME FASHIONS</t>
  </si>
  <si>
    <t>848742069738</t>
  </si>
  <si>
    <t>Lush Decor Lush Decor 84 x 52 Blackout Blue 52x84</t>
  </si>
  <si>
    <t>16T002539</t>
  </si>
  <si>
    <t>NAVY</t>
  </si>
  <si>
    <t>675716778651</t>
  </si>
  <si>
    <t>Madison Park Essentials Merritt Reversible TaupeWhite FullQueen</t>
  </si>
  <si>
    <t>MPE13-242</t>
  </si>
  <si>
    <t>BEIGEKHAKI</t>
  </si>
  <si>
    <t>FACE AND REVERSE: POLYESTER; FILLING: COTTON</t>
  </si>
  <si>
    <t>675716548896</t>
  </si>
  <si>
    <t>Sleep Philosophy Benton Double-Layer Microfiber White King</t>
  </si>
  <si>
    <t>BASI10-0258</t>
  </si>
  <si>
    <t>WHITE</t>
  </si>
  <si>
    <t>DOWN COMFORTR</t>
  </si>
  <si>
    <t>675716781897</t>
  </si>
  <si>
    <t>Beautyrest Oversized Solid Microlight Rev Indigo Throw</t>
  </si>
  <si>
    <t>BR54-0663</t>
  </si>
  <si>
    <t>BLUE</t>
  </si>
  <si>
    <t>PB BLANKETS</t>
  </si>
  <si>
    <t>FACE: SOLID MICROLIGHT, 200 GRAMS PER SQUARE METER POLYESTER; BACK: SOLID MICRO BERBER AND 220 GRAMS PER SQUARE METER POLYESTER</t>
  </si>
  <si>
    <t>635983499598</t>
  </si>
  <si>
    <t>Ella Jayne Overstuffed Plush MediumFirm White Standard</t>
  </si>
  <si>
    <t>BMI10191L2S</t>
  </si>
  <si>
    <t>SINGLE</t>
  </si>
  <si>
    <t>ELLA JAYNE/PILLOW GUY INC</t>
  </si>
  <si>
    <t>MADE IN USA</t>
  </si>
  <si>
    <t>SHELL: 220 THREAD COUNT POLYESTER MICROFIBER, FILL: 100% DOWN ALTERNATIVE FINE GEL FIBERS</t>
  </si>
  <si>
    <t>735732817182</t>
  </si>
  <si>
    <t>VCNY Home Luanna 3PC King Duvet Set Beige King</t>
  </si>
  <si>
    <t>QUA-3DV-KING-GP-TAUP</t>
  </si>
  <si>
    <t>TEXTILES-EUROPE INC</t>
  </si>
  <si>
    <t>675716721916</t>
  </si>
  <si>
    <t>Intelligent Design Adel 4-Pc. TwinTwin XL Comfor Aqua TwinTwin XL</t>
  </si>
  <si>
    <t>ID10-747</t>
  </si>
  <si>
    <t>TURQ/AQUA</t>
  </si>
  <si>
    <t>COMFORTER SET: POLYESTER; COMFORTER/PILLOW FILL: POLYESTER</t>
  </si>
  <si>
    <t>675716981921</t>
  </si>
  <si>
    <t>Madison Park Hayden Reversible 3-Pc. KingC Grey KingCalifornia King</t>
  </si>
  <si>
    <t>MPE10-566</t>
  </si>
  <si>
    <t>FABRIC: POLYESTER; POLYESTER FILL</t>
  </si>
  <si>
    <t>86569005618</t>
  </si>
  <si>
    <t>Intelligent Design Raina 5-Pc. FullQueen Duvet C GreySilver FullQueen</t>
  </si>
  <si>
    <t>ID12-1394</t>
  </si>
  <si>
    <t>SILVER</t>
  </si>
  <si>
    <t>FABRIC: POLYESTER; POLYESTER FILL 85 GSM</t>
  </si>
  <si>
    <t>885308345035</t>
  </si>
  <si>
    <t>Eclipse Arno Thermalayer Grey 52x84</t>
  </si>
  <si>
    <t>14704052084GRE</t>
  </si>
  <si>
    <t>KEECO LLC/GRASSI ASSOCIATES INC</t>
  </si>
  <si>
    <t>100% POLYESTER</t>
  </si>
  <si>
    <t>86569150684</t>
  </si>
  <si>
    <t>SunSmart Mirage 50 x 95 Damask Total Navy 50x95</t>
  </si>
  <si>
    <t>SS40-0102</t>
  </si>
  <si>
    <t>SHELL: POLYESTER;</t>
  </si>
  <si>
    <t>675716772567</t>
  </si>
  <si>
    <t>Madison Park Duke 20 Square Faux-Fur Decor Ivory 20x20</t>
  </si>
  <si>
    <t>MP30-2998</t>
  </si>
  <si>
    <t>NATURAL</t>
  </si>
  <si>
    <t>20X20</t>
  </si>
  <si>
    <t>FAUX-FUR FACE: POLYESTER 300 GRAMS PER SQUARE METER; FAUX-FUR REVERSE: POLYESTER 180 GRAMS PER SQUARE METER; POLYESTER FILL</t>
  </si>
  <si>
    <t>841297105272</t>
  </si>
  <si>
    <t>The Peanutshell The Peanutshell Black White Black 50x60</t>
  </si>
  <si>
    <t>FSTGBK</t>
  </si>
  <si>
    <t>BLACK</t>
  </si>
  <si>
    <t>CRIBBOTFIT</t>
  </si>
  <si>
    <t>PEANUTSHELL/FARALLON BRANDS INC</t>
  </si>
  <si>
    <t>COTTON SATEEN</t>
  </si>
  <si>
    <t>675716700164</t>
  </si>
  <si>
    <t>Madison Park Amherst Colorblocked 50 x 18 Black 50x18</t>
  </si>
  <si>
    <t>MP41-2226</t>
  </si>
  <si>
    <t>746885401579</t>
  </si>
  <si>
    <t>Miller Curtains Savara Cotton 50 x 63 Waterc Shore 50x63</t>
  </si>
  <si>
    <t>MC00X72521463</t>
  </si>
  <si>
    <t>MED BEIGE</t>
  </si>
  <si>
    <t>NATCO/WINDHAM WEAVE/WINDHAM TRADING</t>
  </si>
  <si>
    <t>21864257478</t>
  </si>
  <si>
    <t>Avanti Black and White 16 x 30 Hand D</t>
  </si>
  <si>
    <t>"D</t>
  </si>
  <si>
    <t>HAND TOWEL</t>
  </si>
  <si>
    <t>TOWELS</t>
  </si>
  <si>
    <t>AVANTI LINENS/AVANTI LINENS INC</t>
  </si>
  <si>
    <t>COTTON</t>
  </si>
  <si>
    <t>96675200456</t>
  </si>
  <si>
    <t>SensorPEDIC SensorPEDIC Microshield Jumbo White Queen</t>
  </si>
  <si>
    <t>SOFT-TEX MFG CO/SOFT-TEX INT'L INC</t>
  </si>
  <si>
    <t>240TC POLYESTER/NYLON</t>
  </si>
  <si>
    <t>783048116529</t>
  </si>
  <si>
    <t>Truly Soft Truly Soft Everyday Buffalo Pl Black And White King</t>
  </si>
  <si>
    <t>CS2093BWKG-1500</t>
  </si>
  <si>
    <t>610395224860</t>
  </si>
  <si>
    <t>Exclusive Fabrics Furnishing Exclusive Fabrics Furnishing</t>
  </si>
  <si>
    <t>VPCH-VET1217-108</t>
  </si>
  <si>
    <t>NO COLOR</t>
  </si>
  <si>
    <t>NO SIZE</t>
  </si>
  <si>
    <t>EXCLUSIVE FABRICS &amp; FURNISHINGS LLC</t>
  </si>
  <si>
    <t>675716748135</t>
  </si>
  <si>
    <t>Madison Park Essentials Michelle 24-Pc. Cal Black California King</t>
  </si>
  <si>
    <t>MPE10-222</t>
  </si>
  <si>
    <t>COMFORTER/SHAMS/EUROPEAN SHAMS/SHEETS: POLYESTER 85 GRAMS PER SQUARE METER; WINDOW VALANCE/BEDSKIRT (DROP AND PLATFORM)/PILLOW COVER/WINDOW PANELS/TIEBACKS: POLYESTER; COMFORTER FILL: POLYESTER 270 GRAMS PER SQUARE METER; PILLOW FILL: POLYESTER</t>
  </si>
  <si>
    <t>86569030382</t>
  </si>
  <si>
    <t>Madison Park Madison Park Odette King 8 Pie Silver King</t>
  </si>
  <si>
    <t>MP10-5886</t>
  </si>
  <si>
    <t>COMFORTER/SHAM - POLYESTER JACQUARD WITH DAMASK STRIA TEXTURE, POLYESTER MICROFIBER REVERSE, DECORATIVE PILLOW/EURO SHAM/BEDSKIRT DROP - CHARMEUSE, BEDSKIRT PLATFORM - POLYESTER, COMFORTER/DECORATIVE PILLOW FILL - 100% POLYESTER</t>
  </si>
  <si>
    <t>675716510183</t>
  </si>
  <si>
    <t>Madison Park Donovan 7-Pc. Medallion Jacqua Red California King</t>
  </si>
  <si>
    <t>MP10-751</t>
  </si>
  <si>
    <t>RED</t>
  </si>
  <si>
    <t>675716713102</t>
  </si>
  <si>
    <t>Madison Park Carlow 7-Pc. California King C Grey California King</t>
  </si>
  <si>
    <t>MP10-2375</t>
  </si>
  <si>
    <t>COMFORTER AND SHAMS: POLYESTER; BEDSKIRT DROP: POLYONI; POLYESTER PLATFORM; DECORATIVE PILLOWS: POLYESTER; POLYESTER FILL; COMFORTER FILL: POLYESTER 270 GRAMS PER SQUARE METER</t>
  </si>
  <si>
    <t>675716872397</t>
  </si>
  <si>
    <t>Madison Park Bella 7-Pc. California King Co Aqua California King</t>
  </si>
  <si>
    <t>MP10-4031</t>
  </si>
  <si>
    <t>652267735074</t>
  </si>
  <si>
    <t>Puredown Puredown 3 Piece Comforter Set White Queen</t>
  </si>
  <si>
    <t>PD 16045 Q</t>
  </si>
  <si>
    <t>ST JAMES HOME INC</t>
  </si>
  <si>
    <t>SHELL - 100 % COTTON, STUFFING - 100 % POLYESTER</t>
  </si>
  <si>
    <t>675716407452</t>
  </si>
  <si>
    <t>Madison Park Palmer Microsuede 7-Pc. Queen Plum Queen</t>
  </si>
  <si>
    <t>MP10-304</t>
  </si>
  <si>
    <t>COMFORTER/SHAM: POLYESTER</t>
  </si>
  <si>
    <t>675716809577</t>
  </si>
  <si>
    <t>Madison Park Madison Park Harper Velvet 3-P Ivory FullQueen</t>
  </si>
  <si>
    <t>MP13-3301</t>
  </si>
  <si>
    <t>FABRIC: POLYESTER; COVERLET FILL: COTTON/POLYESTER/OTHER 85 GSM</t>
  </si>
  <si>
    <t>672225324447</t>
  </si>
  <si>
    <t>Luxlen Luxlen Nilsen 7 Piece Comforte Multi Queen</t>
  </si>
  <si>
    <t>P-21381-Q</t>
  </si>
  <si>
    <t>BRNOVERFLW</t>
  </si>
  <si>
    <t>QNCOMFORTE</t>
  </si>
  <si>
    <t>LUXLEN LLC</t>
  </si>
  <si>
    <t>86569968050</t>
  </si>
  <si>
    <t>Madison Park Madison Park Quebec 3-Piece Fu Blush FullQueen</t>
  </si>
  <si>
    <t>MP13-5323</t>
  </si>
  <si>
    <t>MICROFIBER FROM 100% POLYESTER; COVERLET FILL: 90% COTTON, 5% PLYESTER,5% OTHER FIBERS</t>
  </si>
  <si>
    <t>675716977252</t>
  </si>
  <si>
    <t>Intelligent Design Raina 5-Pc. KingCalifornia Ki GreySilver KingCalifornia King</t>
  </si>
  <si>
    <t>ID10-1245</t>
  </si>
  <si>
    <t>COMFORTER/SHAM/PILLOW COVER: POLYESTER; POLYESTER FILL</t>
  </si>
  <si>
    <t>675716642976</t>
  </si>
  <si>
    <t>Intelligent Design Isabella 5-Pc. FullQueen Comf Grey FullQueen</t>
  </si>
  <si>
    <t>ID10-369</t>
  </si>
  <si>
    <t>COMFORTER SET: POLYESTER; COMFORTER/SHAM FILL: POLYESTER 200 GRAMS PER SQUARE METER; PILLOW FILL: POLYESTER</t>
  </si>
  <si>
    <t>675716983635</t>
  </si>
  <si>
    <t>Sleep Philosophy True North Cotton Flannel 4-Pi Pink French Bulldog Queen</t>
  </si>
  <si>
    <t>TN20-0230</t>
  </si>
  <si>
    <t>PINK</t>
  </si>
  <si>
    <t>COTTON FLANNEL</t>
  </si>
  <si>
    <t>726895721584</t>
  </si>
  <si>
    <t>Charter Club Sleep Cool 400-Thread Count 4- Bisque Ivory Full</t>
  </si>
  <si>
    <t>10011969FL</t>
  </si>
  <si>
    <t>CC MOD BEDDNG</t>
  </si>
  <si>
    <t>CHARTER CLUB-EDI/RWI/WELSPUN</t>
  </si>
  <si>
    <t>96675173033</t>
  </si>
  <si>
    <t>SensorGel CoolFusion SensorElle Memory F White Queen</t>
  </si>
  <si>
    <t>86569909893</t>
  </si>
  <si>
    <t>SunSmart Maya 50 x 95 Printed Heather Grey 50x95</t>
  </si>
  <si>
    <t>SS40-0029</t>
  </si>
  <si>
    <t>675716455644</t>
  </si>
  <si>
    <t>Madison Park Madison Park Andora 50 x 84 Chocolate 50x84</t>
  </si>
  <si>
    <t>WIN40-099</t>
  </si>
  <si>
    <t>BROWN</t>
  </si>
  <si>
    <t>675716661953</t>
  </si>
  <si>
    <t>Madison Park Madison Park Andora 50 x 84 Navy 50x84</t>
  </si>
  <si>
    <t>MP40-1781</t>
  </si>
  <si>
    <t>86569111210</t>
  </si>
  <si>
    <t>JLA Home Fiona 72 x 72 Shower Curtain Blush 72X72</t>
  </si>
  <si>
    <t>MCH70-986</t>
  </si>
  <si>
    <t>BATH RUGS/ACC</t>
  </si>
  <si>
    <t>POLYESTER 85GSM</t>
  </si>
  <si>
    <t>675716953348</t>
  </si>
  <si>
    <t>Madison Park Emilia 50 x 26 Lined Faux-Si Pewter 50x26</t>
  </si>
  <si>
    <t>MP41-4452</t>
  </si>
  <si>
    <t>MED GREEN</t>
  </si>
  <si>
    <t>885308080646</t>
  </si>
  <si>
    <t>Eclipse Eclipse Thermaliner Panel Pair White ONE SIZE</t>
  </si>
  <si>
    <t>10332054X080WH</t>
  </si>
  <si>
    <t>735732743825</t>
  </si>
  <si>
    <t>Victoria Classics Texture Herringbone 50 x 60 Antarctica</t>
  </si>
  <si>
    <t>T3X-THR-5060-MA-ANTR</t>
  </si>
  <si>
    <t>VICTORIA/TEXTILES FROM EUROPE</t>
  </si>
  <si>
    <t>746885369077</t>
  </si>
  <si>
    <t>Miller Curtains Preston 48 x 84 Window Panel Dejon 48x84</t>
  </si>
  <si>
    <t>703444K26139</t>
  </si>
  <si>
    <t>YELLOW</t>
  </si>
  <si>
    <t>29927563023</t>
  </si>
  <si>
    <t>No. 918 No. 918 Sheer Voile 59 x 84 Silver 59x84</t>
  </si>
  <si>
    <t>S LICHTENBERG &amp; CO.</t>
  </si>
  <si>
    <t>10482003482</t>
  </si>
  <si>
    <t>Fresh Ideas Poplin Tailored Pillow Standar Navy Standard Sham</t>
  </si>
  <si>
    <t>FRE201XXNAVY07</t>
  </si>
  <si>
    <t>STDTAILOR</t>
  </si>
  <si>
    <t>LEVINSOHN TEXTILE CO INC</t>
  </si>
  <si>
    <t>POLYESTER/COTTON</t>
  </si>
  <si>
    <t>885308189165</t>
  </si>
  <si>
    <t>Eclipse Dots Print 42 x 84 Curtain P Pink 42x84</t>
  </si>
  <si>
    <t>12424042X084PNK</t>
  </si>
  <si>
    <t>840444146403</t>
  </si>
  <si>
    <t>Chic Home Chic Home Como 9-Pc. Queen Com Blue Queen</t>
  </si>
  <si>
    <t>CS4640-MC</t>
  </si>
  <si>
    <t>CHIC HOME DESIGN LLC</t>
  </si>
  <si>
    <t>FABRIC: 100% POLYESTER MICROFIBERFILL: 100% POLYESTER</t>
  </si>
  <si>
    <t>675716445782</t>
  </si>
  <si>
    <t>Madison Park Dawn 9-Pc. King Comforter Set Blue King</t>
  </si>
  <si>
    <t>MP10-387</t>
  </si>
  <si>
    <t>COMFORTER AND SHAM FACE: COTTON; COTTON/POLYESTER REVERSE; BEDSKIRT DROP: COTTON/POLYESTER; POLYPROPYLENE PLATFORM; EUROPEAN SHAMS: COTTON; DECORATIVE PILLOWS: COTTON; POLYESTER FILL; COMFORTER FILL: POLYESTER 270 GRAMS PER SQUARE METER; THREAD COUNT: 180</t>
  </si>
  <si>
    <t>86569968036</t>
  </si>
  <si>
    <t>Madison Park Madison Park Sabrina 3-Pc King White KingCalifornia King</t>
  </si>
  <si>
    <t>MP13-5321</t>
  </si>
  <si>
    <t>100% COTTON CHENILLE; N/A</t>
  </si>
  <si>
    <t>86569183880</t>
  </si>
  <si>
    <t>Madison Park Malia FullQueen 6 Piece Embro Greyivory FullQueen</t>
  </si>
  <si>
    <t>MP10-6183</t>
  </si>
  <si>
    <t>COMFORTER/SHAM: COTTON PERCALE FACE TUFTED WITH OVER ALL EMBROIDERY, COTTON/POLYESTER BACK, COMFORTER WITH POLYESTER FILLING; EURO SHAM: COTTON/POLYESTER; DECORATIVE PILLOW: COTTON/POLYESTER COVER WITH POLYESTER FILLING</t>
  </si>
  <si>
    <t>879421010161</t>
  </si>
  <si>
    <t>Nanshing Kath 7-Piece Comforter Set, Br Brown Queen</t>
  </si>
  <si>
    <t>KATH7-Q</t>
  </si>
  <si>
    <t>NANSHING AMERICA INC</t>
  </si>
  <si>
    <t>86569968029</t>
  </si>
  <si>
    <t>Madison Park Madison Park Sabrina 3-Pc Full White FullQueen</t>
  </si>
  <si>
    <t>MP13-5320</t>
  </si>
  <si>
    <t>675716986322</t>
  </si>
  <si>
    <t>Woolrich Teton 3-Pc. Reversible Faux-Fu Grey KingCalifornia King</t>
  </si>
  <si>
    <t>WR13-2060</t>
  </si>
  <si>
    <t>FAUX-FUR FACE AND SOLID REVERSE: POLYESTER; 240 GSM POLYESTER FILL</t>
  </si>
  <si>
    <t>840444138729</t>
  </si>
  <si>
    <t>Chic Home Chic Home Barcelo 4 Piece King Plum King</t>
  </si>
  <si>
    <t>QS3872-MC</t>
  </si>
  <si>
    <t>DARKPURPLE</t>
  </si>
  <si>
    <t>FABRIC: POLYESTER MICROFIBER; FILL: POLYESTER</t>
  </si>
  <si>
    <t>675716579296</t>
  </si>
  <si>
    <t>Madison Park Laurel 7-Pc. Queen Comforter S Grey Queen</t>
  </si>
  <si>
    <t>MP10-1328</t>
  </si>
  <si>
    <t>675716784195</t>
  </si>
  <si>
    <t>Madison Park Zuri 4-Pc. FullQueen Comforte Chocolate FullQueen</t>
  </si>
  <si>
    <t>MP10-3074</t>
  </si>
  <si>
    <t>MED BROWN</t>
  </si>
  <si>
    <t>FABRIC: POLYESTER 260 GSM, REVERSES TO 180 GSM; COMFORTER/PILLOW FILL: POLYESTER</t>
  </si>
  <si>
    <t>675716546786</t>
  </si>
  <si>
    <t>Madison Park Madison Park Tuscany 3-Pc Full White FullQueen</t>
  </si>
  <si>
    <t>MP13-1037</t>
  </si>
  <si>
    <t>MICROFIBER FROM POLYESTER; COVERLET FILL: COTTON, POLYESTER</t>
  </si>
  <si>
    <t>86569143525</t>
  </si>
  <si>
    <t>Madison Park Timber KingCalifornia King 3 Blackbrown KingCalifornia King</t>
  </si>
  <si>
    <t>MP13-6088</t>
  </si>
  <si>
    <t>CHARCOAL</t>
  </si>
  <si>
    <t>COVERLET/SHAM: POLYESTER MICROFIBER, COVERLET WITH COTTON/POLYESTER FILLING</t>
  </si>
  <si>
    <t>848742069073</t>
  </si>
  <si>
    <t>Lush Decor Lush Decor 84 x 52 Blackout Wheat 52x84</t>
  </si>
  <si>
    <t>16T002469</t>
  </si>
  <si>
    <t>LT/PAS BWN</t>
  </si>
  <si>
    <t>86569068439</t>
  </si>
  <si>
    <t>Intelligent Design Tulay 9-Pc. Queen Comforter Se Purple Queen</t>
  </si>
  <si>
    <t>ID10-1354</t>
  </si>
  <si>
    <t>FABRIC: POLYESTER; DECORATIVE PILLOW/COMFORTER FILL: POLYESTER 75 GSM</t>
  </si>
  <si>
    <t>810026171079</t>
  </si>
  <si>
    <t>Cheer Collection Hypoallergenic Luxury Mattress White Twin</t>
  </si>
  <si>
    <t>CC-ADMTLX-TN</t>
  </si>
  <si>
    <t>CHEER COLLECTION/DIGITALPRINTS USA</t>
  </si>
  <si>
    <t>MICROFIBER</t>
  </si>
  <si>
    <t>675716568900</t>
  </si>
  <si>
    <t>Madison Park Winfield 300-Thread Count Twin White Twin</t>
  </si>
  <si>
    <t>MP10-1246</t>
  </si>
  <si>
    <t>FABRIC: COTTON THREAD COUNT: 300 FILL: POLYESTER 300 GRAMS PER SQUARE METER</t>
  </si>
  <si>
    <t>86569902740</t>
  </si>
  <si>
    <t>SunSmart Cassius 50 x 95 Marble Jacqu Gold 50x95</t>
  </si>
  <si>
    <t>SS40-0005</t>
  </si>
  <si>
    <t>GOLD</t>
  </si>
  <si>
    <t>675716792862</t>
  </si>
  <si>
    <t>Woolrich Tasha Reversible Plaid 50 x 7 Red 50x70</t>
  </si>
  <si>
    <t>WR50-1781</t>
  </si>
  <si>
    <t>FABRIC: COTTON; 250 GRAMS PER SQUARE METER COTTON/POLYESTER/OTHER FIBERS FILL; THREAD COUNT: 144</t>
  </si>
  <si>
    <t>675716792909</t>
  </si>
  <si>
    <t>Woolrich Woolrich Plaid Patchwork Quilt Taupe 50x70</t>
  </si>
  <si>
    <t>WR50-1784</t>
  </si>
  <si>
    <t>636193219556</t>
  </si>
  <si>
    <t>Martha Stewart Collection Sleep In 12 x 28 Graphic-Pri Medium Blue</t>
  </si>
  <si>
    <t>DECSLEEP</t>
  </si>
  <si>
    <t>MED BLUE</t>
  </si>
  <si>
    <t>MRTH STWRT WH</t>
  </si>
  <si>
    <t>MARTHA STEWART-EDI/BALTIC LINENS</t>
  </si>
  <si>
    <t>27399035536</t>
  </si>
  <si>
    <t>Vellux Vellux King Blanket Blush King</t>
  </si>
  <si>
    <t>A1WX035536</t>
  </si>
  <si>
    <t>VELLUX/WESTPOINT HOME</t>
  </si>
  <si>
    <t>NYLON</t>
  </si>
  <si>
    <t>22415657167</t>
  </si>
  <si>
    <t>Sealy 100 Cotton Extra Firm Support White Queen</t>
  </si>
  <si>
    <t>AMERICAN TEXTILE</t>
  </si>
  <si>
    <t>100% COTTON</t>
  </si>
  <si>
    <t>86569989680</t>
  </si>
  <si>
    <t>Madison Park Serene 50 x 84 Colorblocked Spice 50x84</t>
  </si>
  <si>
    <t>MP40-5470</t>
  </si>
  <si>
    <t>MED ORANGE</t>
  </si>
  <si>
    <t>FABRIC: POLYESTER</t>
  </si>
  <si>
    <t>675716999339</t>
  </si>
  <si>
    <t>Madison Park Duke Ribbed 50 x 60 Faux-Fur Blush 50x60</t>
  </si>
  <si>
    <t>MP50-4823</t>
  </si>
  <si>
    <t>VALA78X7</t>
  </si>
  <si>
    <t>BODY: POLYESTER;</t>
  </si>
  <si>
    <t>86569898562</t>
  </si>
  <si>
    <t>Madison Park Sachi Oversized 60 x 70 Prin Gray 60x70</t>
  </si>
  <si>
    <t>MP50-4906</t>
  </si>
  <si>
    <t>FAUX-FUR FABRIC: POLYESTER</t>
  </si>
  <si>
    <t>675716759698</t>
  </si>
  <si>
    <t>Madison Park Zuri Faux-Fur 20 Square Decor Gray 20x20</t>
  </si>
  <si>
    <t>MP30-2831</t>
  </si>
  <si>
    <t>21864276967</t>
  </si>
  <si>
    <t>Avanti Bath Towels, Bradford 27 x 50 Linen</t>
  </si>
  <si>
    <t>017891LIN</t>
  </si>
  <si>
    <t>BATH TOWEL</t>
  </si>
  <si>
    <t>COTTON; EXCLUSIVE OF EMBELLISHMENT</t>
  </si>
  <si>
    <t>54006631430</t>
  </si>
  <si>
    <t>Achim Ombre 46x42 SS Blue ONE SIZE</t>
  </si>
  <si>
    <t>OMWFVLBL06</t>
  </si>
  <si>
    <t>ACHIM IMPORTING CO INC</t>
  </si>
  <si>
    <t>21864276974</t>
  </si>
  <si>
    <t>Avanti Bath Towels, Bradford 16 x 30 Linen</t>
  </si>
  <si>
    <t>017892LIN</t>
  </si>
  <si>
    <t>MADE IN USA AND IMPORTED</t>
  </si>
  <si>
    <t>746885368834</t>
  </si>
  <si>
    <t>Miller Curtains Window Treatments, Preston Rod Cadet Blue 51x84</t>
  </si>
  <si>
    <t>WC70344413884</t>
  </si>
  <si>
    <t>21864277001</t>
  </si>
  <si>
    <t>Avanti Bath Towels, Bradford 11 x 18 Linen</t>
  </si>
  <si>
    <t>017894LIN</t>
  </si>
  <si>
    <t>FINGER TIP</t>
  </si>
  <si>
    <t>BLM</t>
  </si>
  <si>
    <t>675716619947</t>
  </si>
  <si>
    <t>LAUREN COMFORTER SET</t>
  </si>
  <si>
    <t>FB10-992</t>
  </si>
  <si>
    <t>COMFORTER/SHAME - POLYESTER RAYON JACQUARD ON FACE, 100% POLYESTER ON BACK, EURO SHAM - 100% POLYESTER JACQUARD, EMBROIDERY ON FACE, DECORATIVE PILLOW COVER - 100% POLYESTER JACQUARD, COMFORTER/DECORATIVE PILLOWS FILL - 100% POLYESTER</t>
  </si>
  <si>
    <t>886087346206</t>
  </si>
  <si>
    <t>KING COVERLE BASIC</t>
  </si>
  <si>
    <t>SLN HOTL/RLTX</t>
  </si>
  <si>
    <t>LAUREN BY RL/RALPH LAUREN HOME COLL</t>
  </si>
  <si>
    <t>COVER: COTTON; FILL: POLYESTER</t>
  </si>
  <si>
    <t>886087346107</t>
  </si>
  <si>
    <t>F/Q COVERLET BASIC</t>
  </si>
  <si>
    <t>675716863661</t>
  </si>
  <si>
    <t>VIENNA CK COMFSET INDIGO</t>
  </si>
  <si>
    <t>MP10-3831</t>
  </si>
  <si>
    <t>DARK BLUE</t>
  </si>
  <si>
    <t>COMFORTER/SHAM: COTTON, REVERSES TO COTTON/POLYESTER THREAD COUNT: 200, REVERSES TO 180; BEDSKIRT/PILLOW COVER: COTTON/POLYESTER THREAD COUNT: 180; COMFORTER FILL: POLYESTER 270 GRAMS PER SQUARE METER; PILLOW FILL: POLYESTER</t>
  </si>
  <si>
    <t>675716897680</t>
  </si>
  <si>
    <t>STRATFORD K COMF SET GY</t>
  </si>
  <si>
    <t>MP10-4139</t>
  </si>
  <si>
    <t>COMFORTER/SHAM/BEDSKIRT DROP: POLYESTER 85 GRAMS PER SQUARE METER; BEDSKIRT PLATFORM/PILLOW/EUROPEAN SHAM: POLYESTER; COMFORTER FILL: POLYESTER 270 GRAMS PER SQUARE METER; PILLOW FILL: POLYESTER</t>
  </si>
  <si>
    <t>675716715748</t>
  </si>
  <si>
    <t>BENNETT Q COMF SET GREY</t>
  </si>
  <si>
    <t>MP10-2418</t>
  </si>
  <si>
    <t>675716821760</t>
  </si>
  <si>
    <t>RHAPSODY K/CK CLT SET MT</t>
  </si>
  <si>
    <t>MP13-3400</t>
  </si>
  <si>
    <t>COVERLET/SHAM/PILLOW: POLYESTER; COVERLET FILL: COTTON/POLYESTER/OTHER 240 GRAMS PER SQUARE METER; PILLOW FILL: POLYESTER</t>
  </si>
  <si>
    <t>693614012639</t>
  </si>
  <si>
    <t>LOFTY 100 COTTON PL BASIC</t>
  </si>
  <si>
    <t>EJHFBFC4</t>
  </si>
  <si>
    <t>KGMATTRESS</t>
  </si>
  <si>
    <t>COVER: 100% DOUBLE COTTON SATIN, FILLING: 100% POLYESTER</t>
  </si>
  <si>
    <t>86569193520</t>
  </si>
  <si>
    <t>LEONA CS F/Q IVORY</t>
  </si>
  <si>
    <t>MP10-6212</t>
  </si>
  <si>
    <t>COTTON, COMFORTER WITH POLYESTER FILLING</t>
  </si>
  <si>
    <t>848742061183</t>
  </si>
  <si>
    <t>DIAMOND IKAT ROOM DARKENBASIC</t>
  </si>
  <si>
    <t>16T001721</t>
  </si>
  <si>
    <t>732997452370</t>
  </si>
  <si>
    <t>SILKY SATIN TW QLT BASIC</t>
  </si>
  <si>
    <t>100064584TW</t>
  </si>
  <si>
    <t>PB SEASON BED</t>
  </si>
  <si>
    <t>BCP INC/MARTHA STEWART-MMG</t>
  </si>
  <si>
    <t>732997796757</t>
  </si>
  <si>
    <t>86569004826</t>
  </si>
  <si>
    <t>JOSEFINA COMFORTER S BASIC</t>
  </si>
  <si>
    <t>5DS10-0050</t>
  </si>
  <si>
    <t>COMFORTER/SHAM/BEDSKIRT DROP/DECORATIVE PILLOW/EURO SHAM - 85GSM POLYESTER MICROFIBER, BEDSKIRT PLATFORM - POLYPROPYLENE NON-WOVEN FABRIC, COMFORTER/DECORATIVE PILLOW FILL - 100% POLYESTER</t>
  </si>
  <si>
    <t>696445052980</t>
  </si>
  <si>
    <t>LEBA WASTEBASKET</t>
  </si>
  <si>
    <t>ALB-WB</t>
  </si>
  <si>
    <t>PB-BTH-RUG/AC</t>
  </si>
  <si>
    <t>KASSATEX INC</t>
  </si>
  <si>
    <t>859675001337</t>
  </si>
  <si>
    <t>CM NO C DTRGNT TRAVEL</t>
  </si>
  <si>
    <t>TRKIT-001</t>
  </si>
  <si>
    <t>LAUNDRESS (THE)</t>
  </si>
  <si>
    <t>858114008388</t>
  </si>
  <si>
    <t>CLEAN GETAWAY KIT</t>
  </si>
  <si>
    <t>SK-44</t>
  </si>
  <si>
    <t>636202401156</t>
  </si>
  <si>
    <t>HP COLORBLOCK</t>
  </si>
  <si>
    <t>72X6X72/6</t>
  </si>
  <si>
    <t>HUDSON PARK-EDI/CHINA HOME</t>
  </si>
  <si>
    <t>675716878214</t>
  </si>
  <si>
    <t>KASEY F/Q COMF SET AQ</t>
  </si>
  <si>
    <t>MPE10-350</t>
  </si>
  <si>
    <t>COMFORTER/SHAM: POLYESTER 85 GRAMS PER SQUARE METER; PILLOW: POLYESTER COVER; COMFORTER FILL: POLYESTER 250 GRAMS PER SQUARE METER; PILLOW FILL: POLYESTER</t>
  </si>
  <si>
    <t>47293345395</t>
  </si>
  <si>
    <t>TAUP SOFT SUEDE BASIC</t>
  </si>
  <si>
    <t>170327246233SFCHR</t>
  </si>
  <si>
    <t>SURE FIT HOME PRODUCTS LLC</t>
  </si>
  <si>
    <t>675716976798</t>
  </si>
  <si>
    <t>MP QUEBEC 20X20 PL RD</t>
  </si>
  <si>
    <t>MP30-4650</t>
  </si>
  <si>
    <t>SHELL: POLYESTER; FILLING: COTTON</t>
  </si>
  <si>
    <t>628961001043</t>
  </si>
  <si>
    <t>HELLO</t>
  </si>
  <si>
    <t>JET9429</t>
  </si>
  <si>
    <t>LT/PASBLUE</t>
  </si>
  <si>
    <t>12 SGL</t>
  </si>
  <si>
    <t>JETRICH CANADA LIMITED</t>
  </si>
  <si>
    <t>628961001012</t>
  </si>
  <si>
    <t>ADELE</t>
  </si>
  <si>
    <t>JET9426</t>
  </si>
  <si>
    <t>LT BEIGE</t>
  </si>
  <si>
    <t>16X24</t>
  </si>
  <si>
    <t>628961001005</t>
  </si>
  <si>
    <t>BEE MINE</t>
  </si>
  <si>
    <t>JET9425</t>
  </si>
  <si>
    <t>655385015585</t>
  </si>
  <si>
    <t>LUX. SATIN REV. COMF</t>
  </si>
  <si>
    <t>MICCSKG001LSRCS</t>
  </si>
  <si>
    <t>ELITE HOME PRODUCTS INC</t>
  </si>
  <si>
    <t>706258050926</t>
  </si>
  <si>
    <t>DSK 550 ST SPC THI</t>
  </si>
  <si>
    <t>DLLSTSPCTHI</t>
  </si>
  <si>
    <t>LT/PAS PUR</t>
  </si>
  <si>
    <t>CHARTER CLUB-EDI/RWI/VTX</t>
  </si>
  <si>
    <t>SUPIMA COTTON</t>
  </si>
  <si>
    <t>190714335533</t>
  </si>
  <si>
    <t>LOIS THROW</t>
  </si>
  <si>
    <t>1125437MULTI50X60</t>
  </si>
  <si>
    <t>ENVOGUE INTERNATIONAL LLC</t>
  </si>
  <si>
    <t>ACRYLIC/POLYESTER</t>
  </si>
  <si>
    <t>81806448647</t>
  </si>
  <si>
    <t>ASTORIA MOCHA 84 BASIC</t>
  </si>
  <si>
    <t>FZR02KGB2MOC</t>
  </si>
  <si>
    <t>190714242053</t>
  </si>
  <si>
    <t>BRONSON PILLOW</t>
  </si>
  <si>
    <t>1119618WHI22X22</t>
  </si>
  <si>
    <t>22X22</t>
  </si>
  <si>
    <t>COTTON/DUCK FEATHERS</t>
  </si>
  <si>
    <t>696445052966</t>
  </si>
  <si>
    <t>LEBA TRAY</t>
  </si>
  <si>
    <t>ALB-TR</t>
  </si>
  <si>
    <t>PORCELAIN</t>
  </si>
  <si>
    <t>675716744076</t>
  </si>
  <si>
    <t>ID MICLTPLS 60X70 TRW NY</t>
  </si>
  <si>
    <t>ID50-845</t>
  </si>
  <si>
    <t>FABRIC: POLYESTER 220 GRAMS PER SQUARE METER</t>
  </si>
  <si>
    <t>706254554152</t>
  </si>
  <si>
    <t>T700 DOBBY STD PC</t>
  </si>
  <si>
    <t>100048248SP</t>
  </si>
  <si>
    <t>CHARTER CLUB-EDI/BIRLA CENTURY</t>
  </si>
  <si>
    <t>29927373554</t>
  </si>
  <si>
    <t>WHIT MONTEGO CURTAIN BASIC</t>
  </si>
  <si>
    <t>84X7X48/4</t>
  </si>
  <si>
    <t>696445052959</t>
  </si>
  <si>
    <t>LEBA TOOTHBRUSH HLDR</t>
  </si>
  <si>
    <t>ALB-TBH</t>
  </si>
  <si>
    <t>696445052911</t>
  </si>
  <si>
    <t>LEBA COTTON JAR</t>
  </si>
  <si>
    <t>ALB-CJ</t>
  </si>
  <si>
    <t>47293368509</t>
  </si>
  <si>
    <t>GARN STRETCH PIQUE SHORBASIC</t>
  </si>
  <si>
    <t>185025236H647SFSDIN</t>
  </si>
  <si>
    <t>POLYESTER/SPANDEX</t>
  </si>
  <si>
    <t>706258050124</t>
  </si>
  <si>
    <t>DSK 550 SLD STH ASH</t>
  </si>
  <si>
    <t>DLLSLSTHSTN</t>
  </si>
  <si>
    <t>696445052942</t>
  </si>
  <si>
    <t>LEBA SOAP DISH</t>
  </si>
  <si>
    <t>ALB-SD</t>
  </si>
  <si>
    <t>675716356491</t>
  </si>
  <si>
    <t>Beautyrest Knit Micro-Fleece King Electri Lake King</t>
  </si>
  <si>
    <t>BR54-0186</t>
  </si>
  <si>
    <t>BRIGHTBLUE</t>
  </si>
  <si>
    <t>FAUX FLEECE: POLYESTER</t>
  </si>
  <si>
    <t>857525008154</t>
  </si>
  <si>
    <t>Pillow Guy Down Alternative Side Back S Navyteal King</t>
  </si>
  <si>
    <t>PG-2PDAPF-NA-K</t>
  </si>
  <si>
    <t>KING</t>
  </si>
  <si>
    <t>PILLOW GUY INC</t>
  </si>
  <si>
    <t>MADE IN USA OF IMPORTED MATERIALS</t>
  </si>
  <si>
    <t>PILLOW: POLYESTER/NYLON; EMBOSSED HYPO-ALLERGENIC SHELL, DOWN-ALTERNATIVE; POLY GEL FIBER FILLED PILLOW PROTECTOR: 233-THREAD COUNT 100% COTTON PERCALE</t>
  </si>
  <si>
    <t>86569251770</t>
  </si>
  <si>
    <t>Urban Habitat 158 Grey KingCalifornia King</t>
  </si>
  <si>
    <t>UH12-2281</t>
  </si>
  <si>
    <t>675716624873</t>
  </si>
  <si>
    <t>Madison Park Madison Park Quebec 3-Piece Qu Khaki Queen</t>
  </si>
  <si>
    <t>MP13-1565</t>
  </si>
  <si>
    <t>COTTON/POLYESTER/OTHER FIBER</t>
  </si>
  <si>
    <t>675716809522</t>
  </si>
  <si>
    <t>Madison Park Madison Park Harper Velvet 3-P Taupe KingCalifornia King</t>
  </si>
  <si>
    <t>MP13-3306</t>
  </si>
  <si>
    <t>675716455323</t>
  </si>
  <si>
    <t>Madison Park Laurel 7-Pc. California King C Ivory California King</t>
  </si>
  <si>
    <t>MP10-434</t>
  </si>
  <si>
    <t>675716675325</t>
  </si>
  <si>
    <t>Madison Park Bismarck Reversible 3-Pc. King Ivory King</t>
  </si>
  <si>
    <t>MP10-2001</t>
  </si>
  <si>
    <t>848742058251</t>
  </si>
  <si>
    <t>Lush Decor Avon 54 x 95 Single Curtain White 54x95</t>
  </si>
  <si>
    <t>16T001456</t>
  </si>
  <si>
    <t>675716905361</t>
  </si>
  <si>
    <t>Urban Habitat Kids Cloud 5-Pc. Cotton Printe Blue FullQueen</t>
  </si>
  <si>
    <t>UHK13-0020</t>
  </si>
  <si>
    <t>DUVET/SHAM: COTTON; REVERSES TO COTTONPILLOW: COTTON; POLYESTER FILL</t>
  </si>
  <si>
    <t>783048106612</t>
  </si>
  <si>
    <t>Pem America 5th Avenue Lux Riverton 7-Piec Gold Queen</t>
  </si>
  <si>
    <t>CS3212GDQ7-1300</t>
  </si>
  <si>
    <t>840970149596</t>
  </si>
  <si>
    <t>Cathay Home Inc. Ultimate Luxury Reversible Mic Burgundy King</t>
  </si>
  <si>
    <t>108267-BUR-K</t>
  </si>
  <si>
    <t>WINE</t>
  </si>
  <si>
    <t>CATHAY HOME INC</t>
  </si>
  <si>
    <t>FAUX SHERPA</t>
  </si>
  <si>
    <t>877512005522</t>
  </si>
  <si>
    <t>Cathay Home Inc. Ultimate Luxury Reversible Mic Chocolate King</t>
  </si>
  <si>
    <t>108267-CHO-K</t>
  </si>
  <si>
    <t>DARK BROWN</t>
  </si>
  <si>
    <t>735732261480</t>
  </si>
  <si>
    <t>VCNY Home Beckham 8-Pc. Queen Damask Bed Blue Queen</t>
  </si>
  <si>
    <t>BHA-BIB-QUEN-IN-BLUE</t>
  </si>
  <si>
    <t>22415061148</t>
  </si>
  <si>
    <t>Sealy Cool Comfort Fitted Mattress P White Queen</t>
  </si>
  <si>
    <t>POLYESTER/NYLON</t>
  </si>
  <si>
    <t>22415564144</t>
  </si>
  <si>
    <t>Sealy Luxury 100 Cotton Queen Mattr White Queen</t>
  </si>
  <si>
    <t>86569193407</t>
  </si>
  <si>
    <t>Madison Park Gia TwinTwin XL 2 Piece Back Blush TwinTwin XL</t>
  </si>
  <si>
    <t>MP10-6209</t>
  </si>
  <si>
    <t>COMFORTER/SHAM: POLYESTER LONG FUR FACE, POLYESTER MINK BACK; COMFORTER WITH POLYESTER FILLING</t>
  </si>
  <si>
    <t>693614011564</t>
  </si>
  <si>
    <t>Ella Jayne Waterproof and Hypoallergenic White Queen</t>
  </si>
  <si>
    <t>EJHMPWP3</t>
  </si>
  <si>
    <t>QNMATTRESS</t>
  </si>
  <si>
    <t>848971033692</t>
  </si>
  <si>
    <t>Malouf Sleep Tite Pr1me Smooth Mattre White King</t>
  </si>
  <si>
    <t>SL0PKKMP</t>
  </si>
  <si>
    <t>SURFACE - 100% POLYESTER, SIDEWALL - 100% POLYESTER, BACKING - 100% POLYURETHANE</t>
  </si>
  <si>
    <t>628961001029</t>
  </si>
  <si>
    <t>Small World Home Canvas 18 x 18 Decorative Pi Yellow 18x18</t>
  </si>
  <si>
    <t>JET9427</t>
  </si>
  <si>
    <t>LT/PAS YEL</t>
  </si>
  <si>
    <t>693614011540</t>
  </si>
  <si>
    <t>Ella Jayne Waterproof and Hypoallergenic White Twin</t>
  </si>
  <si>
    <t>EJHMPWP1</t>
  </si>
  <si>
    <t>RTMATTRESS</t>
  </si>
  <si>
    <t>675716822477</t>
  </si>
  <si>
    <t>Madison Park Madison Park Quebec 20 x 20 Blue 20x20</t>
  </si>
  <si>
    <t>MP30-3407</t>
  </si>
  <si>
    <t>675716766818</t>
  </si>
  <si>
    <t>Madison Park Quebec Oversized Quilted Throw Seafoam 60x70</t>
  </si>
  <si>
    <t>MP50-2987</t>
  </si>
  <si>
    <t>GREEN</t>
  </si>
  <si>
    <t>FACE AND REVERSE: POLYESTER 85 GRAMS PER SQUARE METER; FILL: COTTON 200 GRAMS PER SQUARE METER</t>
  </si>
  <si>
    <t>675716759681</t>
  </si>
  <si>
    <t>Madison Park Zuri Reversible Oversized 60 Grey 60x70</t>
  </si>
  <si>
    <t>MP50-2830</t>
  </si>
  <si>
    <t>86569898579</t>
  </si>
  <si>
    <t>Madison Park Sachi Oversized 60 x 70 Prin Natural 60x70</t>
  </si>
  <si>
    <t>MP50-4907</t>
  </si>
  <si>
    <t>675716716400</t>
  </si>
  <si>
    <t>Madison Park Bernard 2-Pc. TwinTwin XL Com Red TwinTwin XL</t>
  </si>
  <si>
    <t>BASI10-0398</t>
  </si>
  <si>
    <t>783048023919</t>
  </si>
  <si>
    <t>Truly Soft Truly Soft Everyday White Full Orange FullQueen</t>
  </si>
  <si>
    <t>DCS1657ORFQ-18</t>
  </si>
  <si>
    <t>100% MICROFIBER POLYESTER.</t>
  </si>
  <si>
    <t>22415381284</t>
  </si>
  <si>
    <t>AllerEase Organic Cotton Top Allergy Pro White</t>
  </si>
  <si>
    <t>100% ORGANIC COTTON</t>
  </si>
  <si>
    <t>675716772574</t>
  </si>
  <si>
    <t>Madison Park Duke 20 Square Faux-Fur Decor Brown 20x20</t>
  </si>
  <si>
    <t>MP30-2999</t>
  </si>
  <si>
    <t>841297113789</t>
  </si>
  <si>
    <t>The Peanutshell The Peanutshell Navy Whale Fit Navy 50x60</t>
  </si>
  <si>
    <t>FSWHNV</t>
  </si>
  <si>
    <t>10482319194</t>
  </si>
  <si>
    <t>Lux Hotel Baratta Embroidered Euro 2-Pac Silver European Sham</t>
  </si>
  <si>
    <t>FRE27502SILV11</t>
  </si>
  <si>
    <t>96675200029</t>
  </si>
  <si>
    <t>SensorGel Luxury Memory Foam Chair Pad Black No Size</t>
  </si>
  <si>
    <t>POLYESTER; FILL: MEMORY FOAM</t>
  </si>
  <si>
    <t>29927463835</t>
  </si>
  <si>
    <t>No. 918 Montego 48 x 84 Grommet Top Nickel 48x84</t>
  </si>
  <si>
    <t>MED GRAY</t>
  </si>
  <si>
    <t>47293338809</t>
  </si>
  <si>
    <t>Sure Fit Duck Slipcover, Dining Room Claret Chair Slipcover</t>
  </si>
  <si>
    <t>841297148774</t>
  </si>
  <si>
    <t>The Peanutshell PS by The Peanutshell Grey Zoo Grey Crib</t>
  </si>
  <si>
    <t>7196MFS2</t>
  </si>
  <si>
    <t>86569930873</t>
  </si>
  <si>
    <t>JLA Home Stowe Toothbrush Holder Marble</t>
  </si>
  <si>
    <t>MCH71-503</t>
  </si>
  <si>
    <t>21864366156</t>
  </si>
  <si>
    <t>Avanti Snowman Gathering Hand Towel Hand Towel</t>
  </si>
  <si>
    <t>86569914132</t>
  </si>
  <si>
    <t>Madison Park Essentials Brystol 24-Pc. Quee Red Queen</t>
  </si>
  <si>
    <t>MPE10-633</t>
  </si>
  <si>
    <t>COMFORTER/SHAM/EUROPEAN SHAM/SHEETS: POLYESTER 85 GRAMS PER SQUARE METER; BEDSKIRT/DECORATIVE PILLOW/WINDOW PANELS/TIEBACKS/VALANCE: POLYESTER; COMFORTER FILL: POLYESTER 270 GRAMS PER SQUARE METER; DECORATIVE PILLOW FILL: POLYESTER</t>
  </si>
  <si>
    <t>86569963949</t>
  </si>
  <si>
    <t>Madison Park Bellagio 5-Pc. Quilted King Be Brown King</t>
  </si>
  <si>
    <t>MP13-5319</t>
  </si>
  <si>
    <t>81 SGL</t>
  </si>
  <si>
    <t>FABRIC: POLYESTER; BEDSPREAD FILL: COTTON/POLYESTER/OTHER FIBERS; DECORATIVE PILLOW FILL: POLYESTER</t>
  </si>
  <si>
    <t>846339075551</t>
  </si>
  <si>
    <t>J Queen New York Zilara King Coverlet Pearl King</t>
  </si>
  <si>
    <t>2180116KCOV</t>
  </si>
  <si>
    <t>TRAD TXTL COL</t>
  </si>
  <si>
    <t>J QUEEN NEW YORK INC</t>
  </si>
  <si>
    <t>675716320140</t>
  </si>
  <si>
    <t>Madison Park Amherst 7-Pc. King Comforter S Khaki King</t>
  </si>
  <si>
    <t>MP10-122</t>
  </si>
  <si>
    <t>COMFORTER, BEDSKIRT, SHAMS AND DECORATIVE PILLOWS: POLYESTER; COMFORTER AND DECORATIVE PILLOW FILL: POLYESTER</t>
  </si>
  <si>
    <t>675716580773</t>
  </si>
  <si>
    <t>Madison Park Nisha Cotton Sateen 7-Pc. Full Teal FullQueen</t>
  </si>
  <si>
    <t>MP10-1332</t>
  </si>
  <si>
    <t>COMFORTER/SHAM: COTTON THREAD COUNT: 220 COMFORTER/SHAM: COTTON REVERSE THREAD COUNT: 180COMFORTER: FILL: POLYESTEREUROPEAN SHAM: COTTON THREAD COUNT: 180DECORATIVE PILLOW: ALL COTTON COVER; FILL: POLYESTER</t>
  </si>
  <si>
    <t>675716791056</t>
  </si>
  <si>
    <t>Madison Park Parker 3-Pc. FullQueen Comfor Navy FullQueen</t>
  </si>
  <si>
    <t>BASI10-0424</t>
  </si>
  <si>
    <t>FABRIC: POLYESTER 280 GSM, REVERSES TO 170 GSM; POLYESTER FILL 200 GSM</t>
  </si>
  <si>
    <t>22415475167</t>
  </si>
  <si>
    <t>AllerEase Organic Cotton Top Cover Water White King</t>
  </si>
  <si>
    <t>100% ORGANIC COTTON COVER</t>
  </si>
  <si>
    <t>86569065933</t>
  </si>
  <si>
    <t>Intelligent Design Zoey Reversible 5-Pc. FullQue GreySilver FullQueen</t>
  </si>
  <si>
    <t>ID10-1338</t>
  </si>
  <si>
    <t>22415475143</t>
  </si>
  <si>
    <t>AllerEase Organic Cotton Top Cover Water White Queen</t>
  </si>
  <si>
    <t>675716760168</t>
  </si>
  <si>
    <t>Madison Park Zuri Reversible Oversized 96 Tan Throw</t>
  </si>
  <si>
    <t>MP50-2918</t>
  </si>
  <si>
    <t>86569005656</t>
  </si>
  <si>
    <t>Intelligent Design Raina 5-Pc. KingCalifornia Ki BlushGold KingCalifornia King</t>
  </si>
  <si>
    <t>ID12-1401</t>
  </si>
  <si>
    <t>675716957216</t>
  </si>
  <si>
    <t>Madison Park Harper 42 x 108 Solid Crushe Taupe 42x108</t>
  </si>
  <si>
    <t>MP40-4503</t>
  </si>
  <si>
    <t>86569005625</t>
  </si>
  <si>
    <t>Intelligent Design Raina 5-Pc. FullQueen Duvet C BlushGold FullQueen</t>
  </si>
  <si>
    <t>ID12-1400</t>
  </si>
  <si>
    <t>783048107787</t>
  </si>
  <si>
    <t>Truly Soft Trey Plaid King Duvet Set Blue King</t>
  </si>
  <si>
    <t>DCS3227KC-1800</t>
  </si>
  <si>
    <t>ASSORTED</t>
  </si>
  <si>
    <t>815492010365</t>
  </si>
  <si>
    <t>Rod Desyne Rod Desyne Ivy Drapery Rod 0.8 Black 28-48in</t>
  </si>
  <si>
    <t>4833-282</t>
  </si>
  <si>
    <t>ROD DESYNE</t>
  </si>
  <si>
    <t>STEEL</t>
  </si>
  <si>
    <t>675716792916</t>
  </si>
  <si>
    <t>Woolrich Woolrich Plaid Patchwork Quilt Red 50x70</t>
  </si>
  <si>
    <t>WR50-1785</t>
  </si>
  <si>
    <t>848742077979</t>
  </si>
  <si>
    <t>Lush Decor Melody Bow 18X52 Valance White ONE SIZE</t>
  </si>
  <si>
    <t>16T000216</t>
  </si>
  <si>
    <t>VALA15X52</t>
  </si>
  <si>
    <t>635983502175</t>
  </si>
  <si>
    <t>Ella Jayne Cotton Blend Superior Down -Li White Queen</t>
  </si>
  <si>
    <t>BMI7340LE</t>
  </si>
  <si>
    <t>QUEEN</t>
  </si>
  <si>
    <t>MAIN/REVERSE: POLYESTER, COTTON</t>
  </si>
  <si>
    <t>636193739474</t>
  </si>
  <si>
    <t>Hotel Collection Seaglass 22 x 22 Decorative Green</t>
  </si>
  <si>
    <t>LT/PAS GRN</t>
  </si>
  <si>
    <t>HOTEL LUX BDG</t>
  </si>
  <si>
    <t>HOTEL BY C CLUB-EDI/RWI/VTX</t>
  </si>
  <si>
    <t>732994720601</t>
  </si>
  <si>
    <t>Hotel Collection Seaglass Cotton Seafoam 12 x White</t>
  </si>
  <si>
    <t>COTTON/POLYESTER</t>
  </si>
  <si>
    <t>86569909831</t>
  </si>
  <si>
    <t>SunSmart Julie 50 x 95 Textured Botan Yellow 50x95</t>
  </si>
  <si>
    <t>SS40-0023</t>
  </si>
  <si>
    <t>849657012895</t>
  </si>
  <si>
    <t>Rod Desyne Rod Desyne Tilly Single Curtai Black 28-48in</t>
  </si>
  <si>
    <t>5709-282</t>
  </si>
  <si>
    <t>STEEL; RESIN FINIALS</t>
  </si>
  <si>
    <t>735732189883</t>
  </si>
  <si>
    <t>VCNY Home VCNY Home Casa Real Reversibl Multi King</t>
  </si>
  <si>
    <t>C10-5DV-KING-IN-MULT</t>
  </si>
  <si>
    <t>86569902788</t>
  </si>
  <si>
    <t>SunSmart Mirage 50 x 84 Damask Total Champagne 50x84</t>
  </si>
  <si>
    <t>SS40-0013</t>
  </si>
  <si>
    <t>86569909824</t>
  </si>
  <si>
    <t>SunSmart Julie 50 x 84 Textured Botan Yellow 50x84</t>
  </si>
  <si>
    <t>SS40-0022</t>
  </si>
  <si>
    <t>608381523707</t>
  </si>
  <si>
    <t>Martha Stewart Collection Martha Stewart Collection 300 Sky Queen Flat</t>
  </si>
  <si>
    <t>300QFL822BL</t>
  </si>
  <si>
    <t>QUEEN FLAT</t>
  </si>
  <si>
    <t>MS COL SHEETS</t>
  </si>
  <si>
    <t>MARTHA STEWART-EDI/RWI/NAISHAT</t>
  </si>
  <si>
    <t>675716802264</t>
  </si>
  <si>
    <t>Madison Park Elma Oversized Reversible 60 Gray 60x70</t>
  </si>
  <si>
    <t>MP50-3255</t>
  </si>
  <si>
    <t>FACE: POLYESTER</t>
  </si>
  <si>
    <t>54006630518</t>
  </si>
  <si>
    <t>Achim Panache 55x63 TN Tan 55x63</t>
  </si>
  <si>
    <t>PAPN63TN12</t>
  </si>
  <si>
    <t>675716783785</t>
  </si>
  <si>
    <t>Madison Park Arctic 50 x 60 Checkerboard Gray 50x60</t>
  </si>
  <si>
    <t>BASI50-0414</t>
  </si>
  <si>
    <t>FAUX-FUR FACE: POLYESTER 280 GRAMS PER SQUARE METER; FAUX-FUR REVERSE: 100 GRAMS PER SQUARE METER 6D POLYESTER FILL</t>
  </si>
  <si>
    <t>675716783778</t>
  </si>
  <si>
    <t>Madison Park Arctic 50 x 60 Checkerboard Ivory 50x60</t>
  </si>
  <si>
    <t>BASI50-0413</t>
  </si>
  <si>
    <t>29927480702</t>
  </si>
  <si>
    <t>Sun Zero Lichtenberg Sun Zero Grant Sol Mocha 54x84</t>
  </si>
  <si>
    <t>KHAKI</t>
  </si>
  <si>
    <t>36326426194</t>
  </si>
  <si>
    <t>Saturday Knight Petite Fleur 56 x 84 Panel Bone 56x84</t>
  </si>
  <si>
    <t>SATURDAY KNIGHT LTD</t>
  </si>
  <si>
    <t>813538024321</t>
  </si>
  <si>
    <t>MARTEX COTTON LMWBK</t>
  </si>
  <si>
    <t>AYYQC669843</t>
  </si>
  <si>
    <t>732997494332</t>
  </si>
  <si>
    <t>Hotel Collection White Down 400-Thread Count Me White King</t>
  </si>
  <si>
    <t>100084002KG</t>
  </si>
  <si>
    <t>KGCOMFORTE</t>
  </si>
  <si>
    <t>PB COMFORTERS</t>
  </si>
  <si>
    <t>HOTEL BY CHARTER CLUB-EDI/DOWNLITE</t>
  </si>
  <si>
    <t>848742068960</t>
  </si>
  <si>
    <t>Lush Decor Lush Decor Diamond Pom Pom Com Gray King</t>
  </si>
  <si>
    <t>16T002459</t>
  </si>
  <si>
    <t>86569014870</t>
  </si>
  <si>
    <t>Madison Park Lola Cotton 7-Pc. Queen Comfor GreyBlush Queen</t>
  </si>
  <si>
    <t>MP10-5670</t>
  </si>
  <si>
    <t>COMFORTER/SHAM: COTTON, REVERSES TO COTTON/POLYESTER; THREAD COUNT: 200, REVERSES TO 180; BEDSKIRT: COTTON POLYESTER (DROP)/POLYESTER (PLATFORM); PILLOW: COTTON/POLYESTER; FILL: POLYESTER</t>
  </si>
  <si>
    <t>675716771997</t>
  </si>
  <si>
    <t>Madison Park Madison Park Quebec 3-Piece Qu Navy Queen</t>
  </si>
  <si>
    <t>MP13-2991</t>
  </si>
  <si>
    <t>675716510145</t>
  </si>
  <si>
    <t>Madison Park Donovan 7-Pc. Medallion Jacqua Red Queen</t>
  </si>
  <si>
    <t>MP10-749</t>
  </si>
  <si>
    <t>675716808297</t>
  </si>
  <si>
    <t>Madison Park Laurel 7-Pc. King Comforter Se Black King</t>
  </si>
  <si>
    <t>MP10-3280</t>
  </si>
  <si>
    <t>675716492106</t>
  </si>
  <si>
    <t>Madison Park Laurel 7-Pc. King Comforter Se Seafoam King</t>
  </si>
  <si>
    <t>MP10-640</t>
  </si>
  <si>
    <t>848742028926</t>
  </si>
  <si>
    <t>Lush Decor Leah Floral 52 x 84 Curtain Yellow 52x84</t>
  </si>
  <si>
    <t>C28926P14-000</t>
  </si>
  <si>
    <t>47293345432</t>
  </si>
  <si>
    <t>Sure Fit Soft Faux Suede Loveseat Cover Sable Loveseat Slipcover</t>
  </si>
  <si>
    <t>170327246229SFLOVE</t>
  </si>
  <si>
    <t>RUSTCOPPER</t>
  </si>
  <si>
    <t>842491129859</t>
  </si>
  <si>
    <t>Sweet Home Collection Sweet Home Collection Dobby Em Beige Queen</t>
  </si>
  <si>
    <t>8PC-DOBBY-Q</t>
  </si>
  <si>
    <t>SWEET HOME COLLECTION/BED BATH N MO</t>
  </si>
  <si>
    <t>POLYESTER MICROFIBER</t>
  </si>
  <si>
    <t>96675807037</t>
  </si>
  <si>
    <t>SensorPEDIC Luxury Extraordinaire Gusseted White King</t>
  </si>
  <si>
    <t>VISCOSE RAYON/POLYESTER WITH MEMORY FOAM FILL</t>
  </si>
  <si>
    <t>675716456023</t>
  </si>
  <si>
    <t>Madison Park Larkspur Reversible 3-Pc. King NavyBlue King</t>
  </si>
  <si>
    <t>BASI10-0200</t>
  </si>
  <si>
    <t>FABRIC: POLYESTER/ FILL: POLYESTER</t>
  </si>
  <si>
    <t>840008316891</t>
  </si>
  <si>
    <t>Linenspa Signature CollectionZipTig White King</t>
  </si>
  <si>
    <t>LSSC1PKKEP</t>
  </si>
  <si>
    <t>SURFACE: POLYESTER. BACKING: POLYURETHANE</t>
  </si>
  <si>
    <t>86569295354</t>
  </si>
  <si>
    <t>Intelligent Design Raina Metallic Print 50 x 63 Navy 50x63</t>
  </si>
  <si>
    <t>ID40-1809</t>
  </si>
  <si>
    <t>100% POLYESTER MICROFIBER WITH 3 PASS FOAM BACK LINER</t>
  </si>
  <si>
    <t>848742001400</t>
  </si>
  <si>
    <t>Lush Decor Estate Garden Lace Print 54 x Red 54x84</t>
  </si>
  <si>
    <t>C01400Q12</t>
  </si>
  <si>
    <t>693614011496</t>
  </si>
  <si>
    <t>Ella Jayne Classic Quilted Mattress Prote White King</t>
  </si>
  <si>
    <t>EJHMPCQ4</t>
  </si>
  <si>
    <t>86569902825</t>
  </si>
  <si>
    <t>SunSmart Mirage 50 x 108 Damask Total Champagne 50x108</t>
  </si>
  <si>
    <t>SS40-0015</t>
  </si>
  <si>
    <t>840444134301</t>
  </si>
  <si>
    <t>Chic Home Chic Home Judith King Quilt Beige King</t>
  </si>
  <si>
    <t>QS3430-MC</t>
  </si>
  <si>
    <t>807709829525</t>
  </si>
  <si>
    <t>Dainty Home Malibu Linen Look Sheer Gromme Red ONE SIZE</t>
  </si>
  <si>
    <t>MAL11084RE</t>
  </si>
  <si>
    <t>BABY SIGNATURE DBA DAINTY HOME INC</t>
  </si>
  <si>
    <t>86569902931</t>
  </si>
  <si>
    <t>SunSmart Mirage 50 x 95 Damask Total Grey 50x95</t>
  </si>
  <si>
    <t>SS40-0017</t>
  </si>
  <si>
    <t>86569902917</t>
  </si>
  <si>
    <t>SunSmart Mirage 50 x 95 Damask Total Champagne 50x95</t>
  </si>
  <si>
    <t>SS40-0014</t>
  </si>
  <si>
    <t>26865545937</t>
  </si>
  <si>
    <t>Elrene Cachet 52 x 84 Faux Silk 3-i Gold 52x84</t>
  </si>
  <si>
    <t>34621CML</t>
  </si>
  <si>
    <t>BEIGE</t>
  </si>
  <si>
    <t>ELRENE HOME FASHIONS</t>
  </si>
  <si>
    <t>POLYESTER FAUX SILK</t>
  </si>
  <si>
    <t>675716624965</t>
  </si>
  <si>
    <t>Madison Park Saratoga 50 x 84 Fretwork-Pr Blue 50x84</t>
  </si>
  <si>
    <t>MP40-1573</t>
  </si>
  <si>
    <t>POLYESTER/COTTON/RAYON</t>
  </si>
  <si>
    <t>86569896742</t>
  </si>
  <si>
    <t>Madison Park Edina 20 Square Faux-Fur Deco Ivory 20x20</t>
  </si>
  <si>
    <t>MP30-4830</t>
  </si>
  <si>
    <t>FAUX-FUR FACE: ACRYLIC/POLYESTER; FAUX-FUR REVERSE: POLYESTER; FEATHER/DOWN FILL</t>
  </si>
  <si>
    <t>675716488321</t>
  </si>
  <si>
    <t>Madison Park Emilia 50 x 84 Lined Faux-Si Bronze 50x84</t>
  </si>
  <si>
    <t>WIN40-118</t>
  </si>
  <si>
    <t>DARK BEIGE</t>
  </si>
  <si>
    <t>83/84 SGL</t>
  </si>
  <si>
    <t>FAKE-SILK FABRIC AND LINING: POLYESTER</t>
  </si>
  <si>
    <t>678298246259</t>
  </si>
  <si>
    <t>Regal Home Regal Home Chevron Blackout 2- Beige 84 x 76</t>
  </si>
  <si>
    <t>CHE7684</t>
  </si>
  <si>
    <t>REGAL HOME COLLECTIONS INC</t>
  </si>
  <si>
    <t>675716749361</t>
  </si>
  <si>
    <t>Madison Park Madison Park Aubrey Paisley 50 Burgundy 50x18</t>
  </si>
  <si>
    <t>MP41-2714</t>
  </si>
  <si>
    <t>887719079622</t>
  </si>
  <si>
    <t>Goodful 300-Thread Count Standard Pill White Standard</t>
  </si>
  <si>
    <t>T300HYGWHPILSTD</t>
  </si>
  <si>
    <t>GOODFUL/WELSPUN USA INC</t>
  </si>
  <si>
    <t>FABRIC: 300TC COTTON; 30OZ ALFA LOFT POLYESTER FILL</t>
  </si>
  <si>
    <t>675716287368</t>
  </si>
  <si>
    <t>Beautyrest Microfleece Twin Blanket Ivory Twin</t>
  </si>
  <si>
    <t>BL51-0515</t>
  </si>
  <si>
    <t>732994215978</t>
  </si>
  <si>
    <t>Charter Club Damask Designs Tile Geo Europe Horizon European Sham</t>
  </si>
  <si>
    <t>100023140ER</t>
  </si>
  <si>
    <t>CHRT CLB DSGN</t>
  </si>
  <si>
    <t>MMG-CHARTER CLUB</t>
  </si>
  <si>
    <t>608356690700</t>
  </si>
  <si>
    <t>Charter Club Elite Hygro Cotton Bath Towel Mint Bath Towels</t>
  </si>
  <si>
    <t>CCELITEB</t>
  </si>
  <si>
    <t>PB TOWELS</t>
  </si>
  <si>
    <t>726895082029</t>
  </si>
  <si>
    <t>Hotel Collection Supima Cotton Quick-Dry Bath White</t>
  </si>
  <si>
    <t>MMG-HOTEL BY CC</t>
  </si>
  <si>
    <t>86569184993</t>
  </si>
  <si>
    <t>ZARA BDSS BN CK</t>
  </si>
  <si>
    <t>MPE10-797</t>
  </si>
  <si>
    <t>COMFORTER/SHAM/EURO SHAM/BEDSKIRT/SHEET SET: POLYESTER MICROFIBER, COMFORTER WITH POLYESTER FILLING; DECORATIVE PILLOW: POLYESTER COVER WITH POLYESTER FILLING</t>
  </si>
  <si>
    <t>814740023423</t>
  </si>
  <si>
    <t>8PC BLACK/BLUE COMFORTER</t>
  </si>
  <si>
    <t>ARABESQUE8-C.K.</t>
  </si>
  <si>
    <t>675716870485</t>
  </si>
  <si>
    <t>MP PALISADES BROWN CK CS</t>
  </si>
  <si>
    <t>MP10-4026</t>
  </si>
  <si>
    <t>675716979256</t>
  </si>
  <si>
    <t>MP CAMELIA COMSET Q NT</t>
  </si>
  <si>
    <t>MP10-4688</t>
  </si>
  <si>
    <t>FABRIC: POLYESTER; COMFORTER/PILLOW FILL: POLYESTER 85 GSM</t>
  </si>
  <si>
    <t>783048106605</t>
  </si>
  <si>
    <t>5AL NOELLE K CS</t>
  </si>
  <si>
    <t>CS3211GDK7-1300</t>
  </si>
  <si>
    <t>96675608962</t>
  </si>
  <si>
    <t>2.5" MEMLOFT Q TOP</t>
  </si>
  <si>
    <t>COVER: 233 THREAD COUNT 100% COTTON; FILL: POLYESTER/MEMORY FOAM CLUSTERS</t>
  </si>
  <si>
    <t>675716986377</t>
  </si>
  <si>
    <t>ALTON F/Q RED/BL CS BASIC</t>
  </si>
  <si>
    <t>WR10-2065</t>
  </si>
  <si>
    <t>FABRIC: POLYESTER; COMFORTER/PILLOW FILL: POLYESTER</t>
  </si>
  <si>
    <t>706258049807</t>
  </si>
  <si>
    <t>DSK 550 SLD KGC MNT</t>
  </si>
  <si>
    <t>DLLSLKGCMNT</t>
  </si>
  <si>
    <t>675716999261</t>
  </si>
  <si>
    <t>UH TALIA DVTSET K/CK PK BASIC</t>
  </si>
  <si>
    <t>UH12-2097</t>
  </si>
  <si>
    <t>DUVET COVER/SHAM: 80% POLYESTER, 20% COTTONPILLOW/EURO SHAM: 100% COTTON; DECORATIVE PILLOW FILL: 100% POLYESTER</t>
  </si>
  <si>
    <t>PARKER F/Q NAVY CS</t>
  </si>
  <si>
    <t>675716585532</t>
  </si>
  <si>
    <t>MP QUEBEC CVSET F/Q GY</t>
  </si>
  <si>
    <t>MP13-1369</t>
  </si>
  <si>
    <t>706258050681</t>
  </si>
  <si>
    <t>DMSK 550 FQC POP</t>
  </si>
  <si>
    <t>DLLSTFQCPOP</t>
  </si>
  <si>
    <t>MEDIUM RED</t>
  </si>
  <si>
    <t>86569227959</t>
  </si>
  <si>
    <t>MS REV PLUSH AVOCADO KG</t>
  </si>
  <si>
    <t>10028644KG</t>
  </si>
  <si>
    <t>BRIGHT GRN</t>
  </si>
  <si>
    <t>MARTHA STEWART-EDI/E &amp; E CO LTD</t>
  </si>
  <si>
    <t>86569069733</t>
  </si>
  <si>
    <t>MS REV PLUSH LT BLUE KG</t>
  </si>
  <si>
    <t>86569069771</t>
  </si>
  <si>
    <t>MS REV PLUSH LT BLUE FQ</t>
  </si>
  <si>
    <t>10028644FQ</t>
  </si>
  <si>
    <t>86569227911</t>
  </si>
  <si>
    <t>MS REV PLUSH AVOCADO FQ</t>
  </si>
  <si>
    <t>657812167072</t>
  </si>
  <si>
    <t>COMFORT KNIT/SHERPA THRO</t>
  </si>
  <si>
    <t>4446-9074139577</t>
  </si>
  <si>
    <t>70X52</t>
  </si>
  <si>
    <t>BIDDEFORD BLANKETS LLC</t>
  </si>
  <si>
    <t>86569995407</t>
  </si>
  <si>
    <t>MP CHLOE 50X60 THROW BS</t>
  </si>
  <si>
    <t>MP50N-5511</t>
  </si>
  <si>
    <t>FABRIC: ALL COTTON</t>
  </si>
  <si>
    <t>EL CACHET CARAMEL 84'' BASIC</t>
  </si>
  <si>
    <t>675716791087</t>
  </si>
  <si>
    <t>PC PARKER 60X70 THROW GY</t>
  </si>
  <si>
    <t>BASI50-0426</t>
  </si>
  <si>
    <t>675716716042</t>
  </si>
  <si>
    <t>SABEN 72X72 SC TAUPE</t>
  </si>
  <si>
    <t>MPE70-173</t>
  </si>
  <si>
    <t>735732743801</t>
  </si>
  <si>
    <t>SHPA HRBNE THRW BLU BASIC</t>
  </si>
  <si>
    <t>HER-THR-5060-MA-INSB</t>
  </si>
  <si>
    <t>TXTR HRBNE THRW GREY BASIC</t>
  </si>
  <si>
    <t>735732743818</t>
  </si>
  <si>
    <t>TXTR HRBNE THRW WHT BASIC</t>
  </si>
  <si>
    <t>T3X-THR-5060-MA-ANTQ</t>
  </si>
  <si>
    <t>732995737776</t>
  </si>
  <si>
    <t>SUNSET FLORAL QLT ST</t>
  </si>
  <si>
    <t>100037829ST</t>
  </si>
  <si>
    <t>MARTHA STEWART-MMG/COLLECTION 43417</t>
  </si>
  <si>
    <t>MADE IN CHINA</t>
  </si>
  <si>
    <t>732994477284</t>
  </si>
  <si>
    <t>BOX PLAID SHAM</t>
  </si>
  <si>
    <t>BOXPLDST</t>
  </si>
  <si>
    <t>DARK GRAY</t>
  </si>
  <si>
    <t>38992003082</t>
  </si>
  <si>
    <t>Waterford Waterford Vaughn Queen Comfort Navygold Queen</t>
  </si>
  <si>
    <t>CSVGHNW41803QU</t>
  </si>
  <si>
    <t>WATERFORD/W-C HOME FASHIONS LLC</t>
  </si>
  <si>
    <t>POLYESTER; POLYESTER FILL</t>
  </si>
  <si>
    <t>732996742090</t>
  </si>
  <si>
    <t>Lucky Brand Lucky Brand Stitch Diamond 3-P Ivory FullQueen</t>
  </si>
  <si>
    <t>100057517FQ</t>
  </si>
  <si>
    <t>LUCKY BEDDING</t>
  </si>
  <si>
    <t>LUCKY - MMG</t>
  </si>
  <si>
    <t>675716808280</t>
  </si>
  <si>
    <t>Madison Park Laurel 7-Pc. Queen Comforter S Black Queen</t>
  </si>
  <si>
    <t>MP10-3279</t>
  </si>
  <si>
    <t>675716406707</t>
  </si>
  <si>
    <t>Madison Park Aubrey 6-Pc. FullQueen Duvet Brown FullQueen</t>
  </si>
  <si>
    <t>MP12-276</t>
  </si>
  <si>
    <t>DUVET, SHAMS AND DECORATIVE PILLOWS: POLYESTER; DECORATIVE PILLOWS FILL: POLYESTER</t>
  </si>
  <si>
    <t>681827986045</t>
  </si>
  <si>
    <t>Ella Jayne Reversible Microfiber Polka Do Sage KingCalifornia King</t>
  </si>
  <si>
    <t>EJH-REVPDCS-SG-KCK</t>
  </si>
  <si>
    <t>86569002150</t>
  </si>
  <si>
    <t>Intelligent Design Loretta 9-Pc. Full Comforter S Navy Full</t>
  </si>
  <si>
    <t>ID10-1376</t>
  </si>
  <si>
    <t>COMFORTER/SHAM/SHEET SET/DECORATIVE PILLOW/BEDSKIRT: POLYESTER; COMFORTER FILL: POLYESTER; DECORATIVE PILLOW FILL: POLYESTER</t>
  </si>
  <si>
    <t>849657013601</t>
  </si>
  <si>
    <t>Rod Desyne Palace 58 Double Curtain Rod Antique Gold 48-84in</t>
  </si>
  <si>
    <t>5708-484D</t>
  </si>
  <si>
    <t>734737592667</t>
  </si>
  <si>
    <t>Fairfield Square Collection Estelle Merlot 8-Pc. Comforter Merlot Full</t>
  </si>
  <si>
    <t>SUNHAM CO USA</t>
  </si>
  <si>
    <t>ALL POLYESTER</t>
  </si>
  <si>
    <t>734737592650</t>
  </si>
  <si>
    <t>Fairfield Square Collection Estelle Merlot 8-Pc. Comforter Merlot</t>
  </si>
  <si>
    <t>20554022A</t>
  </si>
  <si>
    <t>734737592643</t>
  </si>
  <si>
    <t>Fairfield Square Collection Estelle Merlot 8-Pc. Comforter Merlot Twin</t>
  </si>
  <si>
    <t>783048995254</t>
  </si>
  <si>
    <t>My World Sports Stars Reversible 3-Pc Multi FullQueen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</si>
</sst>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" applyNumberFormat="0" applyAlignment="0" applyProtection="0"/>
    <xf numFmtId="0" fontId="10" fillId="28" borderId="2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" applyNumberFormat="0" applyAlignment="0" applyProtection="0"/>
    <xf numFmtId="0" fontId="17" fillId="0" borderId="6" applyNumberFormat="0" applyFill="0" applyAlignment="0" applyProtection="0"/>
    <xf numFmtId="0" fontId="18" fillId="31" borderId="0" applyNumberFormat="0" applyBorder="0" applyAlignment="0" applyProtection="0"/>
    <xf numFmtId="0" fontId="1" fillId="32" borderId="7" applyNumberFormat="0" applyFont="0" applyAlignment="0" applyProtection="0"/>
    <xf numFmtId="0" fontId="19" fillId="2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4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64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26"/>
  <sheetViews>
    <sheetView tabSelected="1" workbookViewId="0">
      <selection activeCell="G18" sqref="G18"/>
    </sheetView>
  </sheetViews>
  <sheetFormatPr defaultRowHeight="15" x14ac:dyDescent="0.25"/>
  <cols>
    <col min="1" max="1" width="42.85546875" customWidth="1"/>
    <col min="2" max="2" width="17.140625" customWidth="1"/>
    <col min="3" max="3" width="15.42578125" customWidth="1"/>
    <col min="4" max="4" width="18.85546875" customWidth="1"/>
    <col min="5" max="5" width="21.42578125" customWidth="1"/>
    <col min="6" max="6" width="17.140625" customWidth="1"/>
    <col min="7" max="7" width="22.28515625" customWidth="1"/>
    <col min="8" max="8" width="16.42578125" bestFit="1" customWidth="1"/>
    <col min="9" max="9" width="10.28515625" bestFit="1" customWidth="1"/>
    <col min="10" max="10" width="5.7109375" customWidth="1"/>
    <col min="11" max="11" width="17.140625" customWidth="1"/>
    <col min="12" max="12" width="16.140625" bestFit="1" customWidth="1"/>
    <col min="13" max="13" width="12.28515625" bestFit="1" customWidth="1"/>
  </cols>
  <sheetData>
    <row r="1" spans="1:13" x14ac:dyDescent="0.25">
      <c r="A1" s="1" t="s">
        <v>1958</v>
      </c>
      <c r="B1" s="1" t="s">
        <v>1959</v>
      </c>
      <c r="C1" s="1" t="s">
        <v>1960</v>
      </c>
      <c r="D1" s="1" t="s">
        <v>1961</v>
      </c>
      <c r="E1" s="1" t="s">
        <v>1963</v>
      </c>
      <c r="F1" s="1" t="s">
        <v>1964</v>
      </c>
      <c r="G1" s="1"/>
      <c r="H1" s="1"/>
      <c r="I1" s="1"/>
      <c r="J1" s="1"/>
      <c r="K1" s="1"/>
      <c r="L1" s="1"/>
      <c r="M1" s="1"/>
    </row>
    <row r="2" spans="1:13" ht="15" customHeight="1" x14ac:dyDescent="0.25">
      <c r="A2" s="3" t="s">
        <v>1965</v>
      </c>
      <c r="B2" s="4">
        <v>12994646</v>
      </c>
      <c r="C2" s="4" t="s">
        <v>1966</v>
      </c>
      <c r="D2" s="5">
        <v>1</v>
      </c>
      <c r="E2" s="6">
        <v>2047.29</v>
      </c>
      <c r="F2" s="4">
        <v>33</v>
      </c>
      <c r="G2" s="2"/>
      <c r="H2" s="2"/>
      <c r="I2" s="7"/>
      <c r="J2" s="5"/>
      <c r="K2" s="4"/>
      <c r="L2" s="2"/>
      <c r="M2" s="2"/>
    </row>
    <row r="3" spans="1:13" ht="15" customHeight="1" x14ac:dyDescent="0.25">
      <c r="A3" s="3" t="s">
        <v>1965</v>
      </c>
      <c r="B3" s="4">
        <v>12990570</v>
      </c>
      <c r="C3" s="4" t="s">
        <v>1966</v>
      </c>
      <c r="D3" s="5">
        <v>1</v>
      </c>
      <c r="E3" s="6">
        <v>3035.61</v>
      </c>
      <c r="F3" s="4">
        <v>39</v>
      </c>
      <c r="G3" s="2"/>
      <c r="H3" s="2"/>
      <c r="I3" s="7"/>
      <c r="J3" s="5"/>
      <c r="K3" s="4"/>
      <c r="L3" s="2"/>
      <c r="M3" s="2"/>
    </row>
    <row r="4" spans="1:13" ht="15" customHeight="1" x14ac:dyDescent="0.25">
      <c r="A4" s="3" t="s">
        <v>1965</v>
      </c>
      <c r="B4" s="4">
        <v>12976065</v>
      </c>
      <c r="C4" s="4" t="s">
        <v>1966</v>
      </c>
      <c r="D4" s="5">
        <v>1</v>
      </c>
      <c r="E4" s="6">
        <v>2979.59</v>
      </c>
      <c r="F4" s="4">
        <v>41</v>
      </c>
      <c r="G4" s="2"/>
      <c r="H4" s="2"/>
      <c r="I4" s="7"/>
      <c r="J4" s="5"/>
      <c r="K4" s="4"/>
      <c r="L4" s="2"/>
      <c r="M4" s="2"/>
    </row>
    <row r="5" spans="1:13" ht="15" customHeight="1" x14ac:dyDescent="0.25">
      <c r="A5" s="3" t="s">
        <v>1965</v>
      </c>
      <c r="B5" s="4">
        <v>13011840</v>
      </c>
      <c r="C5" s="4" t="s">
        <v>1966</v>
      </c>
      <c r="D5" s="5">
        <v>1</v>
      </c>
      <c r="E5" s="6">
        <v>3612.64</v>
      </c>
      <c r="F5" s="4">
        <v>43</v>
      </c>
      <c r="G5" s="2"/>
      <c r="H5" s="2"/>
      <c r="I5" s="7"/>
      <c r="J5" s="5"/>
      <c r="K5" s="4"/>
      <c r="L5" s="2"/>
      <c r="M5" s="2"/>
    </row>
    <row r="6" spans="1:13" ht="15" customHeight="1" x14ac:dyDescent="0.25">
      <c r="A6" s="3" t="s">
        <v>1965</v>
      </c>
      <c r="B6" s="4">
        <v>12978166</v>
      </c>
      <c r="C6" s="4" t="s">
        <v>1966</v>
      </c>
      <c r="D6" s="5">
        <v>1</v>
      </c>
      <c r="E6" s="6">
        <v>2953.5</v>
      </c>
      <c r="F6" s="4">
        <v>50</v>
      </c>
      <c r="G6" s="2"/>
      <c r="H6" s="2"/>
      <c r="I6" s="7"/>
      <c r="J6" s="5"/>
      <c r="K6" s="4"/>
      <c r="L6" s="2"/>
      <c r="M6" s="2"/>
    </row>
    <row r="7" spans="1:13" ht="15" customHeight="1" x14ac:dyDescent="0.25">
      <c r="A7" s="3" t="s">
        <v>1965</v>
      </c>
      <c r="B7" s="4">
        <v>12976050</v>
      </c>
      <c r="C7" s="4" t="s">
        <v>1966</v>
      </c>
      <c r="D7" s="5">
        <v>1</v>
      </c>
      <c r="E7" s="6">
        <v>3002.52</v>
      </c>
      <c r="F7" s="4">
        <v>50</v>
      </c>
      <c r="G7" s="2"/>
      <c r="H7" s="2"/>
      <c r="I7" s="7"/>
      <c r="J7" s="5"/>
      <c r="K7" s="4"/>
      <c r="L7" s="2"/>
      <c r="M7" s="2"/>
    </row>
    <row r="8" spans="1:13" ht="15" customHeight="1" x14ac:dyDescent="0.25">
      <c r="A8" s="3" t="s">
        <v>1965</v>
      </c>
      <c r="B8" s="4">
        <v>12988392</v>
      </c>
      <c r="C8" s="4" t="s">
        <v>1966</v>
      </c>
      <c r="D8" s="5">
        <v>1</v>
      </c>
      <c r="E8" s="6">
        <v>3224.49</v>
      </c>
      <c r="F8" s="4">
        <v>51</v>
      </c>
      <c r="G8" s="2"/>
      <c r="H8" s="2"/>
      <c r="I8" s="7"/>
      <c r="J8" s="5"/>
      <c r="K8" s="4"/>
      <c r="L8" s="2"/>
      <c r="M8" s="2"/>
    </row>
    <row r="9" spans="1:13" ht="15" customHeight="1" x14ac:dyDescent="0.25">
      <c r="A9" s="3" t="s">
        <v>1965</v>
      </c>
      <c r="B9" s="4">
        <v>13007171</v>
      </c>
      <c r="C9" s="4" t="s">
        <v>1966</v>
      </c>
      <c r="D9" s="5">
        <v>1</v>
      </c>
      <c r="E9" s="6">
        <v>2970.48</v>
      </c>
      <c r="F9" s="4">
        <v>52</v>
      </c>
      <c r="G9" s="2"/>
      <c r="H9" s="2"/>
      <c r="I9" s="7"/>
      <c r="J9" s="5"/>
      <c r="K9" s="4"/>
      <c r="L9" s="2"/>
      <c r="M9" s="2"/>
    </row>
    <row r="10" spans="1:13" ht="15" customHeight="1" x14ac:dyDescent="0.25">
      <c r="A10" s="3" t="s">
        <v>1965</v>
      </c>
      <c r="B10" s="4">
        <v>12976124</v>
      </c>
      <c r="C10" s="4" t="s">
        <v>1966</v>
      </c>
      <c r="D10" s="5">
        <v>1</v>
      </c>
      <c r="E10" s="6">
        <v>2839.44</v>
      </c>
      <c r="F10" s="4">
        <v>56</v>
      </c>
      <c r="G10" s="2"/>
      <c r="H10" s="2"/>
      <c r="I10" s="7"/>
      <c r="J10" s="5"/>
      <c r="K10" s="4"/>
      <c r="L10" s="2"/>
      <c r="M10" s="2"/>
    </row>
    <row r="11" spans="1:13" ht="15" customHeight="1" x14ac:dyDescent="0.25">
      <c r="A11" s="3" t="s">
        <v>1965</v>
      </c>
      <c r="B11" s="4">
        <v>12994425</v>
      </c>
      <c r="C11" s="4" t="s">
        <v>1966</v>
      </c>
      <c r="D11" s="5">
        <v>1</v>
      </c>
      <c r="E11" s="6">
        <v>3741.44</v>
      </c>
      <c r="F11" s="4">
        <v>56</v>
      </c>
      <c r="G11" s="2"/>
      <c r="H11" s="2"/>
      <c r="I11" s="7"/>
      <c r="J11" s="5"/>
      <c r="K11" s="4"/>
      <c r="L11" s="2"/>
      <c r="M11" s="2"/>
    </row>
    <row r="12" spans="1:13" ht="15" customHeight="1" x14ac:dyDescent="0.25">
      <c r="A12" s="3" t="s">
        <v>1965</v>
      </c>
      <c r="B12" s="4">
        <v>12705465</v>
      </c>
      <c r="C12" s="4" t="s">
        <v>1966</v>
      </c>
      <c r="D12" s="5">
        <v>1</v>
      </c>
      <c r="E12" s="6">
        <v>3025.44</v>
      </c>
      <c r="F12" s="4">
        <v>56</v>
      </c>
      <c r="G12" s="2"/>
      <c r="H12" s="2"/>
      <c r="I12" s="7"/>
      <c r="J12" s="5"/>
      <c r="K12" s="4"/>
      <c r="L12" s="2"/>
      <c r="M12" s="2"/>
    </row>
    <row r="13" spans="1:13" ht="15" customHeight="1" x14ac:dyDescent="0.25">
      <c r="A13" s="3" t="s">
        <v>1965</v>
      </c>
      <c r="B13" s="4">
        <v>13012978</v>
      </c>
      <c r="C13" s="4" t="s">
        <v>1966</v>
      </c>
      <c r="D13" s="5">
        <v>1</v>
      </c>
      <c r="E13" s="6">
        <v>3495.44</v>
      </c>
      <c r="F13" s="4">
        <v>57</v>
      </c>
      <c r="G13" s="2"/>
      <c r="H13" s="2"/>
      <c r="I13" s="7"/>
      <c r="J13" s="5"/>
      <c r="K13" s="4"/>
      <c r="L13" s="2"/>
      <c r="M13" s="2"/>
    </row>
    <row r="14" spans="1:13" ht="15" customHeight="1" x14ac:dyDescent="0.25">
      <c r="A14" s="3" t="s">
        <v>1965</v>
      </c>
      <c r="B14" s="4">
        <v>12978126</v>
      </c>
      <c r="C14" s="4" t="s">
        <v>1966</v>
      </c>
      <c r="D14" s="5">
        <v>1</v>
      </c>
      <c r="E14" s="6">
        <v>3915.43</v>
      </c>
      <c r="F14" s="4">
        <v>57</v>
      </c>
      <c r="G14" s="2"/>
      <c r="H14" s="2"/>
      <c r="I14" s="7"/>
      <c r="J14" s="5"/>
      <c r="K14" s="4"/>
      <c r="L14" s="2"/>
      <c r="M14" s="2"/>
    </row>
    <row r="15" spans="1:13" ht="15" customHeight="1" x14ac:dyDescent="0.25">
      <c r="A15" s="3" t="s">
        <v>1965</v>
      </c>
      <c r="B15" s="4">
        <v>12993437</v>
      </c>
      <c r="C15" s="4" t="s">
        <v>1966</v>
      </c>
      <c r="D15" s="5">
        <v>1</v>
      </c>
      <c r="E15" s="6">
        <v>3353.42</v>
      </c>
      <c r="F15" s="4">
        <v>58</v>
      </c>
      <c r="G15" s="2"/>
      <c r="H15" s="2"/>
      <c r="I15" s="7"/>
      <c r="J15" s="5"/>
      <c r="K15" s="4"/>
      <c r="L15" s="2"/>
      <c r="M15" s="2"/>
    </row>
    <row r="16" spans="1:13" ht="15" customHeight="1" x14ac:dyDescent="0.25">
      <c r="A16" s="3" t="s">
        <v>1965</v>
      </c>
      <c r="B16" s="4">
        <v>12999421</v>
      </c>
      <c r="C16" s="4" t="s">
        <v>1966</v>
      </c>
      <c r="D16" s="5">
        <v>1</v>
      </c>
      <c r="E16" s="6">
        <v>3378.4</v>
      </c>
      <c r="F16" s="4">
        <v>60</v>
      </c>
      <c r="G16" s="2"/>
      <c r="H16" s="2"/>
      <c r="I16" s="7"/>
      <c r="J16" s="5"/>
      <c r="K16" s="4"/>
      <c r="L16" s="2"/>
      <c r="M16" s="2"/>
    </row>
    <row r="17" spans="1:13" ht="15" customHeight="1" x14ac:dyDescent="0.25">
      <c r="A17" s="3" t="s">
        <v>1965</v>
      </c>
      <c r="B17" s="4">
        <v>13006904</v>
      </c>
      <c r="C17" s="4" t="s">
        <v>1966</v>
      </c>
      <c r="D17" s="5">
        <v>1</v>
      </c>
      <c r="E17" s="6">
        <v>3368.38</v>
      </c>
      <c r="F17" s="4">
        <v>62</v>
      </c>
      <c r="G17" s="2"/>
      <c r="H17" s="2"/>
      <c r="I17" s="7"/>
      <c r="J17" s="5"/>
      <c r="K17" s="4"/>
      <c r="L17" s="2"/>
      <c r="M17" s="2"/>
    </row>
    <row r="18" spans="1:13" ht="15" customHeight="1" x14ac:dyDescent="0.25">
      <c r="A18" s="3" t="s">
        <v>1965</v>
      </c>
      <c r="B18" s="4">
        <v>13006800</v>
      </c>
      <c r="C18" s="4" t="s">
        <v>1966</v>
      </c>
      <c r="D18" s="5">
        <v>1</v>
      </c>
      <c r="E18" s="6">
        <v>3232.38</v>
      </c>
      <c r="F18" s="4">
        <v>62</v>
      </c>
      <c r="G18" s="2"/>
      <c r="H18" s="2"/>
      <c r="I18" s="7"/>
      <c r="J18" s="5"/>
      <c r="K18" s="4"/>
      <c r="L18" s="2"/>
      <c r="M18" s="2"/>
    </row>
    <row r="19" spans="1:13" ht="15" customHeight="1" x14ac:dyDescent="0.25">
      <c r="A19" s="3" t="s">
        <v>1965</v>
      </c>
      <c r="B19" s="4">
        <v>12704401</v>
      </c>
      <c r="C19" s="4" t="s">
        <v>1966</v>
      </c>
      <c r="D19" s="5">
        <v>1</v>
      </c>
      <c r="E19" s="6">
        <v>3459.35</v>
      </c>
      <c r="F19" s="4">
        <v>65</v>
      </c>
      <c r="G19" s="2"/>
      <c r="H19" s="2"/>
      <c r="I19" s="7"/>
      <c r="J19" s="5"/>
      <c r="K19" s="4"/>
      <c r="L19" s="2"/>
      <c r="M19" s="2"/>
    </row>
    <row r="20" spans="1:13" ht="15" customHeight="1" x14ac:dyDescent="0.25">
      <c r="A20" s="3" t="s">
        <v>1965</v>
      </c>
      <c r="B20" s="4">
        <v>13006795</v>
      </c>
      <c r="C20" s="4" t="s">
        <v>1966</v>
      </c>
      <c r="D20" s="5">
        <v>1</v>
      </c>
      <c r="E20" s="6">
        <v>3831.31</v>
      </c>
      <c r="F20" s="4">
        <v>69</v>
      </c>
      <c r="G20" s="2"/>
      <c r="H20" s="2"/>
      <c r="I20" s="7"/>
      <c r="J20" s="5"/>
      <c r="K20" s="4"/>
      <c r="L20" s="2"/>
      <c r="M20" s="2"/>
    </row>
    <row r="21" spans="1:13" ht="15" customHeight="1" x14ac:dyDescent="0.25">
      <c r="A21" s="3" t="s">
        <v>1965</v>
      </c>
      <c r="B21" s="4">
        <v>12971230</v>
      </c>
      <c r="C21" s="4" t="s">
        <v>1966</v>
      </c>
      <c r="D21" s="5">
        <v>1</v>
      </c>
      <c r="E21" s="6">
        <v>3614.31</v>
      </c>
      <c r="F21" s="4">
        <v>69</v>
      </c>
      <c r="G21" s="2"/>
      <c r="H21" s="2"/>
      <c r="I21" s="7"/>
      <c r="J21" s="5"/>
      <c r="K21" s="4"/>
      <c r="L21" s="2"/>
      <c r="M21" s="2"/>
    </row>
    <row r="22" spans="1:13" ht="15" customHeight="1" x14ac:dyDescent="0.25">
      <c r="A22" s="3" t="s">
        <v>1965</v>
      </c>
      <c r="B22" s="4">
        <v>12971109</v>
      </c>
      <c r="C22" s="4" t="s">
        <v>1966</v>
      </c>
      <c r="D22" s="5">
        <v>1</v>
      </c>
      <c r="E22" s="6">
        <v>3360.26</v>
      </c>
      <c r="F22" s="4">
        <v>74</v>
      </c>
      <c r="G22" s="2"/>
      <c r="H22" s="2"/>
      <c r="I22" s="7"/>
      <c r="J22" s="5"/>
      <c r="K22" s="4"/>
      <c r="L22" s="2"/>
      <c r="M22" s="2"/>
    </row>
    <row r="23" spans="1:13" ht="15" customHeight="1" x14ac:dyDescent="0.25">
      <c r="A23" s="3" t="s">
        <v>1965</v>
      </c>
      <c r="B23" s="4">
        <v>12994002</v>
      </c>
      <c r="C23" s="4" t="s">
        <v>1966</v>
      </c>
      <c r="D23" s="5">
        <v>1</v>
      </c>
      <c r="E23" s="6">
        <v>3727.24</v>
      </c>
      <c r="F23" s="4">
        <v>76</v>
      </c>
      <c r="G23" s="2"/>
      <c r="H23" s="2"/>
      <c r="I23" s="7"/>
      <c r="J23" s="5"/>
      <c r="K23" s="4"/>
      <c r="L23" s="2"/>
      <c r="M23" s="2"/>
    </row>
    <row r="24" spans="1:13" ht="15" customHeight="1" x14ac:dyDescent="0.25">
      <c r="A24" s="3" t="s">
        <v>1965</v>
      </c>
      <c r="B24" s="4">
        <v>12990178</v>
      </c>
      <c r="C24" s="4" t="s">
        <v>1966</v>
      </c>
      <c r="D24" s="5">
        <v>1</v>
      </c>
      <c r="E24" s="6">
        <v>3102.21</v>
      </c>
      <c r="F24" s="4">
        <v>79</v>
      </c>
      <c r="G24" s="2"/>
      <c r="H24" s="2"/>
      <c r="I24" s="7"/>
      <c r="J24" s="5"/>
      <c r="K24" s="4"/>
      <c r="L24" s="2"/>
      <c r="M24" s="2"/>
    </row>
    <row r="25" spans="1:13" ht="15" customHeight="1" x14ac:dyDescent="0.25">
      <c r="A25" s="3" t="s">
        <v>1965</v>
      </c>
      <c r="B25" s="4">
        <v>12971571</v>
      </c>
      <c r="C25" s="4" t="s">
        <v>1966</v>
      </c>
      <c r="D25" s="5">
        <v>1</v>
      </c>
      <c r="E25" s="6">
        <v>4625.6400000000003</v>
      </c>
      <c r="F25" s="4">
        <v>86</v>
      </c>
      <c r="G25" s="2"/>
      <c r="H25" s="2"/>
      <c r="I25" s="7"/>
      <c r="J25" s="5"/>
      <c r="K25" s="4"/>
      <c r="L25" s="2"/>
      <c r="M25" s="2"/>
    </row>
    <row r="26" spans="1:13" x14ac:dyDescent="0.25">
      <c r="D26" s="13">
        <f>SUM(D2:D25)</f>
        <v>24</v>
      </c>
      <c r="E26" s="12">
        <f>SUM(E2:E25)</f>
        <v>79896.209999999992</v>
      </c>
      <c r="F26" s="14">
        <f>SUM(F2:F25)</f>
        <v>1401</v>
      </c>
    </row>
  </sheetData>
  <phoneticPr fontId="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6"/>
  <sheetViews>
    <sheetView topLeftCell="E1" workbookViewId="0">
      <selection activeCell="R30" sqref="R30"/>
    </sheetView>
  </sheetViews>
  <sheetFormatPr defaultRowHeight="15" x14ac:dyDescent="0.25"/>
  <cols>
    <col min="1" max="1" width="14.28515625" customWidth="1"/>
    <col min="2" max="2" width="48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6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2938</v>
      </c>
      <c r="B2" s="2" t="s">
        <v>2939</v>
      </c>
      <c r="C2" s="4">
        <v>1</v>
      </c>
      <c r="D2" s="6">
        <v>158.4</v>
      </c>
      <c r="E2" s="6">
        <v>158.4</v>
      </c>
      <c r="F2" s="9">
        <v>374.99</v>
      </c>
      <c r="G2" s="6">
        <v>374.99</v>
      </c>
      <c r="H2" s="4" t="s">
        <v>2940</v>
      </c>
      <c r="I2" s="2" t="s">
        <v>2017</v>
      </c>
      <c r="J2" s="10"/>
      <c r="K2" s="6"/>
      <c r="L2" s="6"/>
      <c r="M2" s="2" t="s">
        <v>1970</v>
      </c>
      <c r="N2" s="2" t="s">
        <v>2626</v>
      </c>
      <c r="O2" s="2" t="s">
        <v>2941</v>
      </c>
      <c r="P2" s="2" t="s">
        <v>1988</v>
      </c>
      <c r="Q2" s="2" t="s">
        <v>2942</v>
      </c>
      <c r="R2" s="11" t="str">
        <f>HYPERLINK("http://slimages.macys.com/is/image/MCY/2594472 ")</f>
        <v xml:space="preserve">http://slimages.macys.com/is/image/MCY/2594472 </v>
      </c>
    </row>
    <row r="3" spans="1:18" ht="24.75" x14ac:dyDescent="0.25">
      <c r="A3" s="8" t="s">
        <v>2943</v>
      </c>
      <c r="B3" s="2" t="s">
        <v>2944</v>
      </c>
      <c r="C3" s="4">
        <v>1</v>
      </c>
      <c r="D3" s="6">
        <v>62.46</v>
      </c>
      <c r="E3" s="6">
        <v>62.46</v>
      </c>
      <c r="F3" s="9">
        <v>199.99</v>
      </c>
      <c r="G3" s="6">
        <v>199.99</v>
      </c>
      <c r="H3" s="4" t="s">
        <v>2945</v>
      </c>
      <c r="I3" s="2" t="s">
        <v>2071</v>
      </c>
      <c r="J3" s="10"/>
      <c r="K3" s="6"/>
      <c r="L3" s="6"/>
      <c r="M3" s="2" t="s">
        <v>1970</v>
      </c>
      <c r="N3" s="2" t="s">
        <v>2946</v>
      </c>
      <c r="O3" s="2" t="s">
        <v>2947</v>
      </c>
      <c r="P3" s="2" t="s">
        <v>1988</v>
      </c>
      <c r="Q3" s="2" t="s">
        <v>2305</v>
      </c>
      <c r="R3" s="11" t="str">
        <f>HYPERLINK("http://slimages.macys.com/is/image/MCY/13906616 ")</f>
        <v xml:space="preserve">http://slimages.macys.com/is/image/MCY/13906616 </v>
      </c>
    </row>
    <row r="4" spans="1:18" ht="24.75" x14ac:dyDescent="0.25">
      <c r="A4" s="8" t="s">
        <v>2948</v>
      </c>
      <c r="B4" s="2" t="s">
        <v>2949</v>
      </c>
      <c r="C4" s="4">
        <v>1</v>
      </c>
      <c r="D4" s="6">
        <v>45.46</v>
      </c>
      <c r="E4" s="6">
        <v>45.46</v>
      </c>
      <c r="F4" s="9">
        <v>109.99</v>
      </c>
      <c r="G4" s="6">
        <v>109.99</v>
      </c>
      <c r="H4" s="4" t="s">
        <v>2950</v>
      </c>
      <c r="I4" s="2" t="s">
        <v>2077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1995</v>
      </c>
      <c r="R4" s="11" t="str">
        <f>HYPERLINK("http://slimages.macys.com/is/image/MCY/8930319 ")</f>
        <v xml:space="preserve">http://slimages.macys.com/is/image/MCY/8930319 </v>
      </c>
    </row>
    <row r="5" spans="1:18" ht="60.75" x14ac:dyDescent="0.25">
      <c r="A5" s="8" t="s">
        <v>2951</v>
      </c>
      <c r="B5" s="2" t="s">
        <v>2952</v>
      </c>
      <c r="C5" s="4">
        <v>1</v>
      </c>
      <c r="D5" s="6">
        <v>45.21</v>
      </c>
      <c r="E5" s="6">
        <v>45.21</v>
      </c>
      <c r="F5" s="9">
        <v>119.99</v>
      </c>
      <c r="G5" s="6">
        <v>119.99</v>
      </c>
      <c r="H5" s="4" t="s">
        <v>2953</v>
      </c>
      <c r="I5" s="2" t="s">
        <v>2017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2954</v>
      </c>
      <c r="R5" s="11" t="str">
        <f>HYPERLINK("http://slimages.macys.com/is/image/MCY/9627894 ")</f>
        <v xml:space="preserve">http://slimages.macys.com/is/image/MCY/9627894 </v>
      </c>
    </row>
    <row r="6" spans="1:18" ht="24.75" x14ac:dyDescent="0.25">
      <c r="A6" s="8" t="s">
        <v>2955</v>
      </c>
      <c r="B6" s="2" t="s">
        <v>2956</v>
      </c>
      <c r="C6" s="4">
        <v>1</v>
      </c>
      <c r="D6" s="6">
        <v>32.42</v>
      </c>
      <c r="E6" s="6">
        <v>32.42</v>
      </c>
      <c r="F6" s="9">
        <v>95.99</v>
      </c>
      <c r="G6" s="6">
        <v>95.99</v>
      </c>
      <c r="H6" s="4" t="s">
        <v>2957</v>
      </c>
      <c r="I6" s="2" t="s">
        <v>2683</v>
      </c>
      <c r="J6" s="10"/>
      <c r="K6" s="6"/>
      <c r="L6" s="6"/>
      <c r="M6" s="2" t="s">
        <v>1970</v>
      </c>
      <c r="N6" s="2" t="s">
        <v>1986</v>
      </c>
      <c r="O6" s="2" t="s">
        <v>2498</v>
      </c>
      <c r="P6" s="2" t="s">
        <v>1988</v>
      </c>
      <c r="Q6" s="2" t="s">
        <v>2770</v>
      </c>
      <c r="R6" s="11" t="str">
        <f>HYPERLINK("http://slimages.macys.com/is/image/MCY/16667486 ")</f>
        <v xml:space="preserve">http://slimages.macys.com/is/image/MCY/16667486 </v>
      </c>
    </row>
    <row r="7" spans="1:18" ht="96.75" x14ac:dyDescent="0.25">
      <c r="A7" s="8" t="s">
        <v>2958</v>
      </c>
      <c r="B7" s="2" t="s">
        <v>2959</v>
      </c>
      <c r="C7" s="4">
        <v>1</v>
      </c>
      <c r="D7" s="6">
        <v>31.64</v>
      </c>
      <c r="E7" s="6">
        <v>31.64</v>
      </c>
      <c r="F7" s="9">
        <v>77.989999999999995</v>
      </c>
      <c r="G7" s="6">
        <v>77.989999999999995</v>
      </c>
      <c r="H7" s="4" t="s">
        <v>2960</v>
      </c>
      <c r="I7" s="2" t="s">
        <v>2017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2961</v>
      </c>
      <c r="R7" s="11" t="str">
        <f>HYPERLINK("http://slimages.macys.com/is/image/MCY/9484911 ")</f>
        <v xml:space="preserve">http://slimages.macys.com/is/image/MCY/9484911 </v>
      </c>
    </row>
    <row r="8" spans="1:18" ht="24.75" x14ac:dyDescent="0.25">
      <c r="A8" s="8" t="s">
        <v>2962</v>
      </c>
      <c r="B8" s="2" t="s">
        <v>2963</v>
      </c>
      <c r="C8" s="4">
        <v>1</v>
      </c>
      <c r="D8" s="6">
        <v>26.97</v>
      </c>
      <c r="E8" s="6">
        <v>26.97</v>
      </c>
      <c r="F8" s="9">
        <v>60.99</v>
      </c>
      <c r="G8" s="6">
        <v>60.99</v>
      </c>
      <c r="H8" s="4" t="s">
        <v>2964</v>
      </c>
      <c r="I8" s="2" t="s">
        <v>2765</v>
      </c>
      <c r="J8" s="10"/>
      <c r="K8" s="6"/>
      <c r="L8" s="6"/>
      <c r="M8" s="2" t="s">
        <v>1970</v>
      </c>
      <c r="N8" s="2" t="s">
        <v>2012</v>
      </c>
      <c r="O8" s="2" t="s">
        <v>2667</v>
      </c>
      <c r="P8" s="2" t="s">
        <v>1988</v>
      </c>
      <c r="Q8" s="2"/>
      <c r="R8" s="11" t="str">
        <f>HYPERLINK("http://slimages.macys.com/is/image/MCY/9662336 ")</f>
        <v xml:space="preserve">http://slimages.macys.com/is/image/MCY/9662336 </v>
      </c>
    </row>
    <row r="9" spans="1:18" ht="24.75" x14ac:dyDescent="0.25">
      <c r="A9" s="8" t="s">
        <v>2050</v>
      </c>
      <c r="B9" s="2" t="s">
        <v>2051</v>
      </c>
      <c r="C9" s="4">
        <v>1</v>
      </c>
      <c r="D9" s="6">
        <v>26.04</v>
      </c>
      <c r="E9" s="6">
        <v>26.04</v>
      </c>
      <c r="F9" s="9">
        <v>63.99</v>
      </c>
      <c r="G9" s="6">
        <v>63.99</v>
      </c>
      <c r="H9" s="4" t="s">
        <v>2052</v>
      </c>
      <c r="I9" s="2" t="s">
        <v>1993</v>
      </c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2053</v>
      </c>
      <c r="R9" s="11" t="str">
        <f>HYPERLINK("http://slimages.macys.com/is/image/MCY/9767726 ")</f>
        <v xml:space="preserve">http://slimages.macys.com/is/image/MCY/9767726 </v>
      </c>
    </row>
    <row r="10" spans="1:18" ht="24.75" x14ac:dyDescent="0.25">
      <c r="A10" s="8" t="s">
        <v>2965</v>
      </c>
      <c r="B10" s="2" t="s">
        <v>2966</v>
      </c>
      <c r="C10" s="4">
        <v>1</v>
      </c>
      <c r="D10" s="6">
        <v>23.15</v>
      </c>
      <c r="E10" s="6">
        <v>23.15</v>
      </c>
      <c r="F10" s="9">
        <v>49.99</v>
      </c>
      <c r="G10" s="6">
        <v>49.99</v>
      </c>
      <c r="H10" s="4">
        <v>20554122</v>
      </c>
      <c r="I10" s="2" t="s">
        <v>2004</v>
      </c>
      <c r="J10" s="10"/>
      <c r="K10" s="6"/>
      <c r="L10" s="6"/>
      <c r="M10" s="2" t="s">
        <v>1970</v>
      </c>
      <c r="N10" s="2" t="s">
        <v>1986</v>
      </c>
      <c r="O10" s="2" t="s">
        <v>2967</v>
      </c>
      <c r="P10" s="2" t="s">
        <v>2933</v>
      </c>
      <c r="Q10" s="2" t="s">
        <v>2968</v>
      </c>
      <c r="R10" s="11" t="str">
        <f>HYPERLINK("http://slimages.macys.com/is/image/MCY/12953897 ")</f>
        <v xml:space="preserve">http://slimages.macys.com/is/image/MCY/12953897 </v>
      </c>
    </row>
    <row r="11" spans="1:18" ht="24.75" x14ac:dyDescent="0.25">
      <c r="A11" s="8" t="s">
        <v>2969</v>
      </c>
      <c r="B11" s="2" t="s">
        <v>2970</v>
      </c>
      <c r="C11" s="4">
        <v>1</v>
      </c>
      <c r="D11" s="6">
        <v>21.04</v>
      </c>
      <c r="E11" s="6">
        <v>21.04</v>
      </c>
      <c r="F11" s="9">
        <v>49.99</v>
      </c>
      <c r="G11" s="6">
        <v>49.99</v>
      </c>
      <c r="H11" s="4" t="s">
        <v>2971</v>
      </c>
      <c r="I11" s="2" t="s">
        <v>2004</v>
      </c>
      <c r="J11" s="10"/>
      <c r="K11" s="6"/>
      <c r="L11" s="6"/>
      <c r="M11" s="2" t="s">
        <v>1970</v>
      </c>
      <c r="N11" s="2" t="s">
        <v>1986</v>
      </c>
      <c r="O11" s="2" t="s">
        <v>2967</v>
      </c>
      <c r="P11" s="2" t="s">
        <v>2933</v>
      </c>
      <c r="Q11" s="2" t="s">
        <v>2968</v>
      </c>
      <c r="R11" s="11" t="str">
        <f>HYPERLINK("http://slimages.macys.com/is/image/MCY/12953897 ")</f>
        <v xml:space="preserve">http://slimages.macys.com/is/image/MCY/12953897 </v>
      </c>
    </row>
    <row r="12" spans="1:18" ht="24.75" x14ac:dyDescent="0.25">
      <c r="A12" s="8" t="s">
        <v>2972</v>
      </c>
      <c r="B12" s="2" t="s">
        <v>2973</v>
      </c>
      <c r="C12" s="4">
        <v>3</v>
      </c>
      <c r="D12" s="6">
        <v>21.04</v>
      </c>
      <c r="E12" s="6">
        <v>63.12</v>
      </c>
      <c r="F12" s="9">
        <v>49.99</v>
      </c>
      <c r="G12" s="6">
        <v>149.97</v>
      </c>
      <c r="H12" s="4">
        <v>20554022</v>
      </c>
      <c r="I12" s="2" t="s">
        <v>2004</v>
      </c>
      <c r="J12" s="10"/>
      <c r="K12" s="6"/>
      <c r="L12" s="6"/>
      <c r="M12" s="2" t="s">
        <v>1970</v>
      </c>
      <c r="N12" s="2" t="s">
        <v>1986</v>
      </c>
      <c r="O12" s="2" t="s">
        <v>2967</v>
      </c>
      <c r="P12" s="2" t="s">
        <v>2933</v>
      </c>
      <c r="Q12" s="2" t="s">
        <v>2968</v>
      </c>
      <c r="R12" s="11" t="str">
        <f>HYPERLINK("http://slimages.macys.com/is/image/MCY/12953897 ")</f>
        <v xml:space="preserve">http://slimages.macys.com/is/image/MCY/12953897 </v>
      </c>
    </row>
    <row r="13" spans="1:18" ht="24.75" x14ac:dyDescent="0.25">
      <c r="A13" s="8" t="s">
        <v>2974</v>
      </c>
      <c r="B13" s="2" t="s">
        <v>2975</v>
      </c>
      <c r="C13" s="4">
        <v>1</v>
      </c>
      <c r="D13" s="6">
        <v>20.329999999999998</v>
      </c>
      <c r="E13" s="6">
        <v>20.329999999999998</v>
      </c>
      <c r="F13" s="9">
        <v>49.99</v>
      </c>
      <c r="G13" s="6">
        <v>49.99</v>
      </c>
      <c r="H13" s="4" t="s">
        <v>799</v>
      </c>
      <c r="I13" s="2"/>
      <c r="J13" s="10"/>
      <c r="K13" s="6"/>
      <c r="L13" s="6"/>
      <c r="M13" s="2" t="s">
        <v>1970</v>
      </c>
      <c r="N13" s="2" t="s">
        <v>1986</v>
      </c>
      <c r="O13" s="2" t="s">
        <v>1994</v>
      </c>
      <c r="P13" s="2" t="s">
        <v>1988</v>
      </c>
      <c r="Q13" s="2"/>
      <c r="R13" s="11" t="str">
        <f>HYPERLINK("http://slimages.macys.com/is/image/MCY/8611391 ")</f>
        <v xml:space="preserve">http://slimages.macys.com/is/image/MCY/8611391 </v>
      </c>
    </row>
    <row r="14" spans="1:18" ht="24.75" x14ac:dyDescent="0.25">
      <c r="A14" s="8" t="s">
        <v>800</v>
      </c>
      <c r="B14" s="2" t="s">
        <v>801</v>
      </c>
      <c r="C14" s="4">
        <v>5</v>
      </c>
      <c r="D14" s="6">
        <v>17.2</v>
      </c>
      <c r="E14" s="6">
        <v>86</v>
      </c>
      <c r="F14" s="9">
        <v>38.99</v>
      </c>
      <c r="G14" s="6">
        <v>194.95</v>
      </c>
      <c r="H14" s="4" t="s">
        <v>802</v>
      </c>
      <c r="I14" s="2" t="s">
        <v>2071</v>
      </c>
      <c r="J14" s="10"/>
      <c r="K14" s="6"/>
      <c r="L14" s="6"/>
      <c r="M14" s="2" t="s">
        <v>1970</v>
      </c>
      <c r="N14" s="2" t="s">
        <v>2012</v>
      </c>
      <c r="O14" s="2" t="s">
        <v>2416</v>
      </c>
      <c r="P14" s="2" t="s">
        <v>1988</v>
      </c>
      <c r="Q14" s="2" t="s">
        <v>2209</v>
      </c>
      <c r="R14" s="11" t="str">
        <f>HYPERLINK("http://slimages.macys.com/is/image/MCY/1200666 ")</f>
        <v xml:space="preserve">http://slimages.macys.com/is/image/MCY/1200666 </v>
      </c>
    </row>
    <row r="15" spans="1:18" ht="24.75" x14ac:dyDescent="0.25">
      <c r="A15" s="8" t="s">
        <v>803</v>
      </c>
      <c r="B15" s="2" t="s">
        <v>804</v>
      </c>
      <c r="C15" s="4">
        <v>1</v>
      </c>
      <c r="D15" s="6">
        <v>19</v>
      </c>
      <c r="E15" s="6">
        <v>19</v>
      </c>
      <c r="F15" s="9">
        <v>29.99</v>
      </c>
      <c r="G15" s="6">
        <v>29.99</v>
      </c>
      <c r="H15" s="4">
        <v>18487338</v>
      </c>
      <c r="I15" s="2" t="s">
        <v>2071</v>
      </c>
      <c r="J15" s="10"/>
      <c r="K15" s="6"/>
      <c r="L15" s="6"/>
      <c r="M15" s="2" t="s">
        <v>1970</v>
      </c>
      <c r="N15" s="2" t="s">
        <v>805</v>
      </c>
      <c r="O15" s="2" t="s">
        <v>2967</v>
      </c>
      <c r="P15" s="2" t="s">
        <v>1988</v>
      </c>
      <c r="Q15" s="2" t="s">
        <v>2688</v>
      </c>
      <c r="R15" s="11" t="str">
        <f>HYPERLINK("http://slimages.macys.com/is/image/MCY/9318947 ")</f>
        <v xml:space="preserve">http://slimages.macys.com/is/image/MCY/9318947 </v>
      </c>
    </row>
    <row r="16" spans="1:18" ht="24.75" x14ac:dyDescent="0.25">
      <c r="A16" s="8" t="s">
        <v>806</v>
      </c>
      <c r="B16" s="2" t="s">
        <v>807</v>
      </c>
      <c r="C16" s="4">
        <v>4</v>
      </c>
      <c r="D16" s="6">
        <v>15.99</v>
      </c>
      <c r="E16" s="6">
        <v>63.96</v>
      </c>
      <c r="F16" s="9">
        <v>57.99</v>
      </c>
      <c r="G16" s="6">
        <v>231.96</v>
      </c>
      <c r="H16" s="4" t="s">
        <v>808</v>
      </c>
      <c r="I16" s="2" t="s">
        <v>2017</v>
      </c>
      <c r="J16" s="10"/>
      <c r="K16" s="6"/>
      <c r="L16" s="6"/>
      <c r="M16" s="2" t="s">
        <v>1970</v>
      </c>
      <c r="N16" s="2" t="s">
        <v>2012</v>
      </c>
      <c r="O16" s="2" t="s">
        <v>2062</v>
      </c>
      <c r="P16" s="2" t="s">
        <v>1988</v>
      </c>
      <c r="Q16" s="2" t="s">
        <v>2063</v>
      </c>
      <c r="R16" s="11" t="str">
        <f>HYPERLINK("http://slimages.macys.com/is/image/MCY/11544404 ")</f>
        <v xml:space="preserve">http://slimages.macys.com/is/image/MCY/11544404 </v>
      </c>
    </row>
    <row r="17" spans="1:18" ht="24.75" x14ac:dyDescent="0.25">
      <c r="A17" s="8" t="s">
        <v>809</v>
      </c>
      <c r="B17" s="2" t="s">
        <v>810</v>
      </c>
      <c r="C17" s="4">
        <v>5</v>
      </c>
      <c r="D17" s="6">
        <v>14.89</v>
      </c>
      <c r="E17" s="6">
        <v>74.45</v>
      </c>
      <c r="F17" s="9">
        <v>33.99</v>
      </c>
      <c r="G17" s="6">
        <v>169.95</v>
      </c>
      <c r="H17" s="4" t="s">
        <v>811</v>
      </c>
      <c r="I17" s="2" t="s">
        <v>2309</v>
      </c>
      <c r="J17" s="10"/>
      <c r="K17" s="6"/>
      <c r="L17" s="6"/>
      <c r="M17" s="2" t="s">
        <v>1970</v>
      </c>
      <c r="N17" s="2" t="s">
        <v>2012</v>
      </c>
      <c r="O17" s="2" t="s">
        <v>1987</v>
      </c>
      <c r="P17" s="2" t="s">
        <v>1988</v>
      </c>
      <c r="Q17" s="2"/>
      <c r="R17" s="11" t="str">
        <f>HYPERLINK("http://slimages.macys.com/is/image/MCY/10010375 ")</f>
        <v xml:space="preserve">http://slimages.macys.com/is/image/MCY/10010375 </v>
      </c>
    </row>
    <row r="18" spans="1:18" ht="24.75" x14ac:dyDescent="0.25">
      <c r="A18" s="8" t="s">
        <v>812</v>
      </c>
      <c r="B18" s="2" t="s">
        <v>813</v>
      </c>
      <c r="C18" s="4">
        <v>1</v>
      </c>
      <c r="D18" s="6">
        <v>14.03</v>
      </c>
      <c r="E18" s="6">
        <v>14.03</v>
      </c>
      <c r="F18" s="9">
        <v>34.99</v>
      </c>
      <c r="G18" s="6">
        <v>34.99</v>
      </c>
      <c r="H18" s="4" t="s">
        <v>814</v>
      </c>
      <c r="I18" s="2" t="s">
        <v>2252</v>
      </c>
      <c r="J18" s="10"/>
      <c r="K18" s="6"/>
      <c r="L18" s="6"/>
      <c r="M18" s="2" t="s">
        <v>1970</v>
      </c>
      <c r="N18" s="2" t="s">
        <v>2012</v>
      </c>
      <c r="O18" s="2" t="s">
        <v>1987</v>
      </c>
      <c r="P18" s="2" t="s">
        <v>1988</v>
      </c>
      <c r="Q18" s="2"/>
      <c r="R18" s="11" t="str">
        <f>HYPERLINK("http://slimages.macys.com/is/image/MCY/16421124 ")</f>
        <v xml:space="preserve">http://slimages.macys.com/is/image/MCY/16421124 </v>
      </c>
    </row>
    <row r="19" spans="1:18" ht="24.75" x14ac:dyDescent="0.25">
      <c r="A19" s="8" t="s">
        <v>815</v>
      </c>
      <c r="B19" s="2" t="s">
        <v>816</v>
      </c>
      <c r="C19" s="4">
        <v>1</v>
      </c>
      <c r="D19" s="6">
        <v>16.260000000000002</v>
      </c>
      <c r="E19" s="6">
        <v>16.260000000000002</v>
      </c>
      <c r="F19" s="9">
        <v>44.99</v>
      </c>
      <c r="G19" s="6">
        <v>44.99</v>
      </c>
      <c r="H19" s="4" t="s">
        <v>817</v>
      </c>
      <c r="I19" s="2" t="s">
        <v>2048</v>
      </c>
      <c r="J19" s="10"/>
      <c r="K19" s="6"/>
      <c r="L19" s="6"/>
      <c r="M19" s="2" t="s">
        <v>1970</v>
      </c>
      <c r="N19" s="2" t="s">
        <v>1986</v>
      </c>
      <c r="O19" s="2" t="s">
        <v>1994</v>
      </c>
      <c r="P19" s="2" t="s">
        <v>1988</v>
      </c>
      <c r="Q19" s="2" t="s">
        <v>2585</v>
      </c>
      <c r="R19" s="11" t="str">
        <f>HYPERLINK("http://slimages.macys.com/is/image/MCY/10005660 ")</f>
        <v xml:space="preserve">http://slimages.macys.com/is/image/MCY/10005660 </v>
      </c>
    </row>
    <row r="20" spans="1:18" ht="24.75" x14ac:dyDescent="0.25">
      <c r="A20" s="8" t="s">
        <v>818</v>
      </c>
      <c r="B20" s="2" t="s">
        <v>819</v>
      </c>
      <c r="C20" s="4">
        <v>1</v>
      </c>
      <c r="D20" s="6">
        <v>16.260000000000002</v>
      </c>
      <c r="E20" s="6">
        <v>16.260000000000002</v>
      </c>
      <c r="F20" s="9">
        <v>44.99</v>
      </c>
      <c r="G20" s="6">
        <v>44.99</v>
      </c>
      <c r="H20" s="4" t="s">
        <v>820</v>
      </c>
      <c r="I20" s="2" t="s">
        <v>2048</v>
      </c>
      <c r="J20" s="10"/>
      <c r="K20" s="6"/>
      <c r="L20" s="6"/>
      <c r="M20" s="2" t="s">
        <v>1970</v>
      </c>
      <c r="N20" s="2" t="s">
        <v>1986</v>
      </c>
      <c r="O20" s="2" t="s">
        <v>1994</v>
      </c>
      <c r="P20" s="2" t="s">
        <v>1988</v>
      </c>
      <c r="Q20" s="2" t="s">
        <v>2585</v>
      </c>
      <c r="R20" s="11" t="str">
        <f>HYPERLINK("http://slimages.macys.com/is/image/MCY/10005660 ")</f>
        <v xml:space="preserve">http://slimages.macys.com/is/image/MCY/10005660 </v>
      </c>
    </row>
    <row r="21" spans="1:18" ht="24.75" x14ac:dyDescent="0.25">
      <c r="A21" s="8" t="s">
        <v>821</v>
      </c>
      <c r="B21" s="2" t="s">
        <v>822</v>
      </c>
      <c r="C21" s="4">
        <v>4</v>
      </c>
      <c r="D21" s="6">
        <v>13.74</v>
      </c>
      <c r="E21" s="6">
        <v>54.96</v>
      </c>
      <c r="F21" s="9">
        <v>49.99</v>
      </c>
      <c r="G21" s="6">
        <v>199.96</v>
      </c>
      <c r="H21" s="4" t="s">
        <v>823</v>
      </c>
      <c r="I21" s="2" t="s">
        <v>2031</v>
      </c>
      <c r="J21" s="10"/>
      <c r="K21" s="6"/>
      <c r="L21" s="6"/>
      <c r="M21" s="2" t="s">
        <v>1970</v>
      </c>
      <c r="N21" s="2" t="s">
        <v>2012</v>
      </c>
      <c r="O21" s="2" t="s">
        <v>2062</v>
      </c>
      <c r="P21" s="2" t="s">
        <v>1988</v>
      </c>
      <c r="Q21" s="2" t="s">
        <v>1995</v>
      </c>
      <c r="R21" s="11" t="str">
        <f>HYPERLINK("http://slimages.macys.com/is/image/MCY/11549411 ")</f>
        <v xml:space="preserve">http://slimages.macys.com/is/image/MCY/11549411 </v>
      </c>
    </row>
    <row r="22" spans="1:18" ht="24.75" x14ac:dyDescent="0.25">
      <c r="A22" s="8" t="s">
        <v>824</v>
      </c>
      <c r="B22" s="2" t="s">
        <v>825</v>
      </c>
      <c r="C22" s="4">
        <v>1</v>
      </c>
      <c r="D22" s="6">
        <v>13</v>
      </c>
      <c r="E22" s="6">
        <v>13</v>
      </c>
      <c r="F22" s="9">
        <v>21.99</v>
      </c>
      <c r="G22" s="6">
        <v>21.99</v>
      </c>
      <c r="H22" s="4" t="s">
        <v>826</v>
      </c>
      <c r="I22" s="2" t="s">
        <v>2603</v>
      </c>
      <c r="J22" s="10"/>
      <c r="K22" s="6"/>
      <c r="L22" s="6"/>
      <c r="M22" s="2" t="s">
        <v>1970</v>
      </c>
      <c r="N22" s="2" t="s">
        <v>805</v>
      </c>
      <c r="O22" s="2" t="s">
        <v>827</v>
      </c>
      <c r="P22" s="2" t="s">
        <v>1988</v>
      </c>
      <c r="Q22" s="2"/>
      <c r="R22" s="11" t="str">
        <f>HYPERLINK("http://slimages.macys.com/is/image/MCY/15162661 ")</f>
        <v xml:space="preserve">http://slimages.macys.com/is/image/MCY/15162661 </v>
      </c>
    </row>
    <row r="23" spans="1:18" ht="24.75" x14ac:dyDescent="0.25">
      <c r="A23" s="8" t="s">
        <v>828</v>
      </c>
      <c r="B23" s="2" t="s">
        <v>829</v>
      </c>
      <c r="C23" s="4">
        <v>1</v>
      </c>
      <c r="D23" s="6">
        <v>10.35</v>
      </c>
      <c r="E23" s="6">
        <v>10.35</v>
      </c>
      <c r="F23" s="9">
        <v>22.99</v>
      </c>
      <c r="G23" s="6">
        <v>22.99</v>
      </c>
      <c r="H23" s="4" t="s">
        <v>830</v>
      </c>
      <c r="I23" s="2" t="s">
        <v>2017</v>
      </c>
      <c r="J23" s="10" t="s">
        <v>831</v>
      </c>
      <c r="K23" s="6"/>
      <c r="L23" s="6"/>
      <c r="M23" s="2" t="s">
        <v>1970</v>
      </c>
      <c r="N23" s="2" t="s">
        <v>2093</v>
      </c>
      <c r="O23" s="2" t="s">
        <v>2351</v>
      </c>
      <c r="P23" s="2" t="s">
        <v>1988</v>
      </c>
      <c r="Q23" s="2" t="s">
        <v>2305</v>
      </c>
      <c r="R23" s="11" t="str">
        <f>HYPERLINK("http://slimages.macys.com/is/image/MCY/2544506 ")</f>
        <v xml:space="preserve">http://slimages.macys.com/is/image/MCY/2544506 </v>
      </c>
    </row>
    <row r="24" spans="1:18" ht="24.75" x14ac:dyDescent="0.25">
      <c r="A24" s="8" t="s">
        <v>832</v>
      </c>
      <c r="B24" s="2" t="s">
        <v>833</v>
      </c>
      <c r="C24" s="4">
        <v>3</v>
      </c>
      <c r="D24" s="6">
        <v>12.33</v>
      </c>
      <c r="E24" s="6">
        <v>36.99</v>
      </c>
      <c r="F24" s="9">
        <v>29.99</v>
      </c>
      <c r="G24" s="6">
        <v>89.97</v>
      </c>
      <c r="H24" s="4" t="s">
        <v>834</v>
      </c>
      <c r="I24" s="2"/>
      <c r="J24" s="10"/>
      <c r="K24" s="6"/>
      <c r="L24" s="6"/>
      <c r="M24" s="2" t="s">
        <v>1970</v>
      </c>
      <c r="N24" s="2" t="s">
        <v>1986</v>
      </c>
      <c r="O24" s="2" t="s">
        <v>1994</v>
      </c>
      <c r="P24" s="2" t="s">
        <v>1988</v>
      </c>
      <c r="Q24" s="2" t="s">
        <v>1995</v>
      </c>
      <c r="R24" s="11" t="str">
        <f>HYPERLINK("http://slimages.macys.com/is/image/MCY/16344436 ")</f>
        <v xml:space="preserve">http://slimages.macys.com/is/image/MCY/16344436 </v>
      </c>
    </row>
    <row r="25" spans="1:18" ht="24.75" x14ac:dyDescent="0.25">
      <c r="A25" s="8" t="s">
        <v>835</v>
      </c>
      <c r="B25" s="2" t="s">
        <v>836</v>
      </c>
      <c r="C25" s="4">
        <v>2</v>
      </c>
      <c r="D25" s="6">
        <v>10.35</v>
      </c>
      <c r="E25" s="6">
        <v>20.7</v>
      </c>
      <c r="F25" s="9">
        <v>21.99</v>
      </c>
      <c r="G25" s="6">
        <v>43.98</v>
      </c>
      <c r="H25" s="4">
        <v>47757</v>
      </c>
      <c r="I25" s="2" t="s">
        <v>2825</v>
      </c>
      <c r="J25" s="10"/>
      <c r="K25" s="6"/>
      <c r="L25" s="6"/>
      <c r="M25" s="2" t="s">
        <v>1970</v>
      </c>
      <c r="N25" s="2" t="s">
        <v>2012</v>
      </c>
      <c r="O25" s="2" t="s">
        <v>2203</v>
      </c>
      <c r="P25" s="2" t="s">
        <v>1988</v>
      </c>
      <c r="Q25" s="2" t="s">
        <v>1995</v>
      </c>
      <c r="R25" s="11" t="str">
        <f>HYPERLINK("http://slimages.macys.com/is/image/MCY/10006710 ")</f>
        <v xml:space="preserve">http://slimages.macys.com/is/image/MCY/10006710 </v>
      </c>
    </row>
    <row r="26" spans="1:18" ht="36.75" x14ac:dyDescent="0.25">
      <c r="A26" s="8" t="s">
        <v>837</v>
      </c>
      <c r="B26" s="2" t="s">
        <v>838</v>
      </c>
      <c r="C26" s="4">
        <v>1</v>
      </c>
      <c r="D26" s="6">
        <v>9.91</v>
      </c>
      <c r="E26" s="6">
        <v>9.91</v>
      </c>
      <c r="F26" s="9">
        <v>22.99</v>
      </c>
      <c r="G26" s="6">
        <v>22.99</v>
      </c>
      <c r="H26" s="4" t="s">
        <v>839</v>
      </c>
      <c r="I26" s="2" t="s">
        <v>1993</v>
      </c>
      <c r="J26" s="10"/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2465</v>
      </c>
      <c r="R26" s="11" t="str">
        <f>HYPERLINK("http://slimages.macys.com/is/image/MCY/9607112 ")</f>
        <v xml:space="preserve">http://slimages.macys.com/is/image/MCY/9607112 </v>
      </c>
    </row>
    <row r="27" spans="1:18" ht="24.75" x14ac:dyDescent="0.25">
      <c r="A27" s="8" t="s">
        <v>840</v>
      </c>
      <c r="B27" s="2" t="s">
        <v>841</v>
      </c>
      <c r="C27" s="4">
        <v>1</v>
      </c>
      <c r="D27" s="6">
        <v>9.68</v>
      </c>
      <c r="E27" s="6">
        <v>9.68</v>
      </c>
      <c r="F27" s="9">
        <v>19.989999999999998</v>
      </c>
      <c r="G27" s="6">
        <v>19.989999999999998</v>
      </c>
      <c r="H27" s="4">
        <v>42552</v>
      </c>
      <c r="I27" s="2" t="s">
        <v>2026</v>
      </c>
      <c r="J27" s="10"/>
      <c r="K27" s="6"/>
      <c r="L27" s="6"/>
      <c r="M27" s="2" t="s">
        <v>1970</v>
      </c>
      <c r="N27" s="2" t="s">
        <v>2012</v>
      </c>
      <c r="O27" s="2" t="s">
        <v>2203</v>
      </c>
      <c r="P27" s="2" t="s">
        <v>1988</v>
      </c>
      <c r="Q27" s="2" t="s">
        <v>1995</v>
      </c>
      <c r="R27" s="11" t="str">
        <f>HYPERLINK("http://slimages.macys.com/is/image/MCY/10009174 ")</f>
        <v xml:space="preserve">http://slimages.macys.com/is/image/MCY/10009174 </v>
      </c>
    </row>
    <row r="28" spans="1:18" ht="24.75" x14ac:dyDescent="0.25">
      <c r="A28" s="8" t="s">
        <v>842</v>
      </c>
      <c r="B28" s="2" t="s">
        <v>843</v>
      </c>
      <c r="C28" s="4">
        <v>1</v>
      </c>
      <c r="D28" s="6">
        <v>8.5</v>
      </c>
      <c r="E28" s="6">
        <v>8.5</v>
      </c>
      <c r="F28" s="9">
        <v>24.99</v>
      </c>
      <c r="G28" s="6">
        <v>24.99</v>
      </c>
      <c r="H28" s="4" t="s">
        <v>844</v>
      </c>
      <c r="I28" s="2" t="s">
        <v>2021</v>
      </c>
      <c r="J28" s="10"/>
      <c r="K28" s="6"/>
      <c r="L28" s="6"/>
      <c r="M28" s="2" t="s">
        <v>1970</v>
      </c>
      <c r="N28" s="2" t="s">
        <v>2012</v>
      </c>
      <c r="O28" s="2" t="s">
        <v>2196</v>
      </c>
      <c r="P28" s="2" t="s">
        <v>1988</v>
      </c>
      <c r="Q28" s="2" t="s">
        <v>2095</v>
      </c>
      <c r="R28" s="11" t="str">
        <f>HYPERLINK("http://slimages.macys.com/is/image/MCY/3250787 ")</f>
        <v xml:space="preserve">http://slimages.macys.com/is/image/MCY/3250787 </v>
      </c>
    </row>
    <row r="29" spans="1:18" ht="24.75" x14ac:dyDescent="0.25">
      <c r="A29" s="8" t="s">
        <v>845</v>
      </c>
      <c r="B29" s="2" t="s">
        <v>846</v>
      </c>
      <c r="C29" s="4">
        <v>1</v>
      </c>
      <c r="D29" s="6">
        <v>7.87</v>
      </c>
      <c r="E29" s="6">
        <v>7.87</v>
      </c>
      <c r="F29" s="9">
        <v>19.989999999999998</v>
      </c>
      <c r="G29" s="6">
        <v>19.989999999999998</v>
      </c>
      <c r="H29" s="4" t="s">
        <v>847</v>
      </c>
      <c r="I29" s="2" t="s">
        <v>1993</v>
      </c>
      <c r="J29" s="10"/>
      <c r="K29" s="6"/>
      <c r="L29" s="6"/>
      <c r="M29" s="2" t="s">
        <v>1970</v>
      </c>
      <c r="N29" s="2" t="s">
        <v>2012</v>
      </c>
      <c r="O29" s="2" t="s">
        <v>848</v>
      </c>
      <c r="P29" s="2" t="s">
        <v>1988</v>
      </c>
      <c r="Q29" s="2"/>
      <c r="R29" s="11" t="str">
        <f>HYPERLINK("http://slimages.macys.com/is/image/MCY/15383425 ")</f>
        <v xml:space="preserve">http://slimages.macys.com/is/image/MCY/15383425 </v>
      </c>
    </row>
    <row r="30" spans="1:18" ht="24.75" x14ac:dyDescent="0.25">
      <c r="A30" s="8" t="s">
        <v>849</v>
      </c>
      <c r="B30" s="2" t="s">
        <v>850</v>
      </c>
      <c r="C30" s="4">
        <v>1</v>
      </c>
      <c r="D30" s="6">
        <v>7.27</v>
      </c>
      <c r="E30" s="6">
        <v>7.27</v>
      </c>
      <c r="F30" s="9">
        <v>19.989999999999998</v>
      </c>
      <c r="G30" s="6">
        <v>19.989999999999998</v>
      </c>
      <c r="H30" s="4" t="s">
        <v>851</v>
      </c>
      <c r="I30" s="2"/>
      <c r="J30" s="10"/>
      <c r="K30" s="6"/>
      <c r="L30" s="6"/>
      <c r="M30" s="2" t="s">
        <v>1970</v>
      </c>
      <c r="N30" s="2" t="s">
        <v>2184</v>
      </c>
      <c r="O30" s="2" t="s">
        <v>1987</v>
      </c>
      <c r="P30" s="2" t="s">
        <v>1988</v>
      </c>
      <c r="Q30" s="2" t="s">
        <v>2185</v>
      </c>
      <c r="R30" s="11" t="str">
        <f>HYPERLINK("http://slimages.macys.com/is/image/MCY/10044201 ")</f>
        <v xml:space="preserve">http://slimages.macys.com/is/image/MCY/10044201 </v>
      </c>
    </row>
    <row r="31" spans="1:18" ht="24.75" x14ac:dyDescent="0.25">
      <c r="A31" s="8" t="s">
        <v>852</v>
      </c>
      <c r="B31" s="2" t="s">
        <v>853</v>
      </c>
      <c r="C31" s="4">
        <v>2</v>
      </c>
      <c r="D31" s="6">
        <v>8.91</v>
      </c>
      <c r="E31" s="6">
        <v>17.82</v>
      </c>
      <c r="F31" s="9">
        <v>34.99</v>
      </c>
      <c r="G31" s="6">
        <v>69.98</v>
      </c>
      <c r="H31" s="4" t="s">
        <v>854</v>
      </c>
      <c r="I31" s="2" t="s">
        <v>2120</v>
      </c>
      <c r="J31" s="10"/>
      <c r="K31" s="6"/>
      <c r="L31" s="6"/>
      <c r="M31" s="2" t="s">
        <v>1970</v>
      </c>
      <c r="N31" s="2" t="s">
        <v>2386</v>
      </c>
      <c r="O31" s="2" t="s">
        <v>2932</v>
      </c>
      <c r="P31" s="2" t="s">
        <v>1988</v>
      </c>
      <c r="Q31" s="2" t="s">
        <v>2209</v>
      </c>
      <c r="R31" s="11" t="str">
        <f>HYPERLINK("http://slimages.macys.com/is/image/MCY/15105815 ")</f>
        <v xml:space="preserve">http://slimages.macys.com/is/image/MCY/15105815 </v>
      </c>
    </row>
    <row r="32" spans="1:18" x14ac:dyDescent="0.25">
      <c r="A32" s="8" t="s">
        <v>855</v>
      </c>
      <c r="B32" s="2" t="s">
        <v>856</v>
      </c>
      <c r="C32" s="4">
        <v>1</v>
      </c>
      <c r="D32" s="6">
        <v>3.86</v>
      </c>
      <c r="E32" s="6">
        <v>3.86</v>
      </c>
      <c r="F32" s="9">
        <v>9.99</v>
      </c>
      <c r="G32" s="6">
        <v>9.99</v>
      </c>
      <c r="H32" s="4" t="s">
        <v>857</v>
      </c>
      <c r="I32" s="2" t="s">
        <v>2261</v>
      </c>
      <c r="J32" s="10" t="s">
        <v>2342</v>
      </c>
      <c r="K32" s="6"/>
      <c r="L32" s="6"/>
      <c r="M32" s="2" t="s">
        <v>1970</v>
      </c>
      <c r="N32" s="2" t="s">
        <v>2093</v>
      </c>
      <c r="O32" s="2" t="s">
        <v>2094</v>
      </c>
      <c r="P32" s="2" t="s">
        <v>1988</v>
      </c>
      <c r="Q32" s="2" t="s">
        <v>2305</v>
      </c>
      <c r="R32" s="11" t="str">
        <f>HYPERLINK("http://slimages.macys.com/is/image/MCY/1119570 ")</f>
        <v xml:space="preserve">http://slimages.macys.com/is/image/MCY/1119570 </v>
      </c>
    </row>
    <row r="33" spans="1:18" ht="24.75" x14ac:dyDescent="0.25">
      <c r="A33" s="8" t="s">
        <v>858</v>
      </c>
      <c r="B33" s="2" t="s">
        <v>859</v>
      </c>
      <c r="C33" s="4">
        <v>1</v>
      </c>
      <c r="D33" s="6">
        <v>3.5</v>
      </c>
      <c r="E33" s="6">
        <v>3.5</v>
      </c>
      <c r="F33" s="9">
        <v>7.99</v>
      </c>
      <c r="G33" s="6">
        <v>7.99</v>
      </c>
      <c r="H33" s="4" t="s">
        <v>860</v>
      </c>
      <c r="I33" s="2"/>
      <c r="J33" s="10" t="s">
        <v>861</v>
      </c>
      <c r="K33" s="6"/>
      <c r="L33" s="6"/>
      <c r="M33" s="2" t="s">
        <v>1970</v>
      </c>
      <c r="N33" s="2" t="s">
        <v>2093</v>
      </c>
      <c r="O33" s="2" t="s">
        <v>2397</v>
      </c>
      <c r="P33" s="2" t="s">
        <v>1988</v>
      </c>
      <c r="Q33" s="2" t="s">
        <v>2095</v>
      </c>
      <c r="R33" s="11" t="str">
        <f>HYPERLINK("http://slimages.macys.com/is/image/MCY/1067098 ")</f>
        <v xml:space="preserve">http://slimages.macys.com/is/image/MCY/1067098 </v>
      </c>
    </row>
    <row r="34" spans="1:18" ht="24.75" x14ac:dyDescent="0.25">
      <c r="A34" s="8" t="s">
        <v>862</v>
      </c>
      <c r="B34" s="2" t="s">
        <v>863</v>
      </c>
      <c r="C34" s="4">
        <v>1</v>
      </c>
      <c r="D34" s="6">
        <v>1.95</v>
      </c>
      <c r="E34" s="6">
        <v>1.95</v>
      </c>
      <c r="F34" s="9">
        <v>14.99</v>
      </c>
      <c r="G34" s="6">
        <v>14.99</v>
      </c>
      <c r="H34" s="4" t="s">
        <v>864</v>
      </c>
      <c r="I34" s="2" t="s">
        <v>2430</v>
      </c>
      <c r="J34" s="10"/>
      <c r="K34" s="6"/>
      <c r="L34" s="6"/>
      <c r="M34" s="2" t="s">
        <v>1970</v>
      </c>
      <c r="N34" s="2" t="s">
        <v>2851</v>
      </c>
      <c r="O34" s="2" t="s">
        <v>865</v>
      </c>
      <c r="P34" s="2" t="s">
        <v>866</v>
      </c>
      <c r="Q34" s="2" t="s">
        <v>867</v>
      </c>
      <c r="R34" s="11" t="str">
        <f>HYPERLINK("http://images.bloomingdales.com/is/image/BLM/10231000 ")</f>
        <v xml:space="preserve">http://images.bloomingdales.com/is/image/BLM/10231000 </v>
      </c>
    </row>
    <row r="35" spans="1:18" ht="24.75" x14ac:dyDescent="0.25">
      <c r="A35" s="8" t="s">
        <v>868</v>
      </c>
      <c r="B35" s="2" t="s">
        <v>869</v>
      </c>
      <c r="C35" s="4">
        <v>1</v>
      </c>
      <c r="D35" s="6">
        <v>17</v>
      </c>
      <c r="E35" s="6">
        <v>17</v>
      </c>
      <c r="F35" s="9">
        <v>33.99</v>
      </c>
      <c r="G35" s="6">
        <v>33.99</v>
      </c>
      <c r="H35" s="4" t="s">
        <v>870</v>
      </c>
      <c r="I35" s="2" t="s">
        <v>2017</v>
      </c>
      <c r="J35" s="10"/>
      <c r="K35" s="6"/>
      <c r="L35" s="6"/>
      <c r="M35" s="2" t="s">
        <v>1970</v>
      </c>
      <c r="N35" s="2" t="s">
        <v>1986</v>
      </c>
      <c r="O35" s="2" t="s">
        <v>871</v>
      </c>
      <c r="P35" s="2"/>
      <c r="Q35" s="2"/>
      <c r="R35" s="11"/>
    </row>
    <row r="36" spans="1:18" ht="24.75" x14ac:dyDescent="0.25">
      <c r="A36" s="8" t="s">
        <v>872</v>
      </c>
      <c r="B36" s="2" t="s">
        <v>873</v>
      </c>
      <c r="C36" s="4">
        <v>2</v>
      </c>
      <c r="D36" s="6">
        <v>11.9</v>
      </c>
      <c r="E36" s="6">
        <v>23.8</v>
      </c>
      <c r="F36" s="9">
        <v>29.99</v>
      </c>
      <c r="G36" s="6">
        <v>59.98</v>
      </c>
      <c r="H36" s="4">
        <v>1010437800</v>
      </c>
      <c r="I36" s="2" t="s">
        <v>1993</v>
      </c>
      <c r="J36" s="10"/>
      <c r="K36" s="6"/>
      <c r="L36" s="6"/>
      <c r="M36" s="2" t="s">
        <v>1970</v>
      </c>
      <c r="N36" s="2" t="s">
        <v>2851</v>
      </c>
      <c r="O36" s="2" t="s">
        <v>874</v>
      </c>
      <c r="P36" s="2"/>
      <c r="Q36" s="2"/>
      <c r="R36" s="11"/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1"/>
  <sheetViews>
    <sheetView topLeftCell="A19" workbookViewId="0">
      <selection activeCell="J36" sqref="J36"/>
    </sheetView>
  </sheetViews>
  <sheetFormatPr defaultRowHeight="15" x14ac:dyDescent="0.25"/>
  <cols>
    <col min="1" max="1" width="14.28515625" customWidth="1"/>
    <col min="2" max="2" width="48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875</v>
      </c>
      <c r="B2" s="2" t="s">
        <v>876</v>
      </c>
      <c r="C2" s="4">
        <v>1</v>
      </c>
      <c r="D2" s="6">
        <v>166.5</v>
      </c>
      <c r="E2" s="6">
        <v>166.5</v>
      </c>
      <c r="F2" s="9">
        <v>462.99</v>
      </c>
      <c r="G2" s="6">
        <v>462.99</v>
      </c>
      <c r="H2" s="4">
        <v>64128</v>
      </c>
      <c r="I2" s="2" t="s">
        <v>2026</v>
      </c>
      <c r="J2" s="10"/>
      <c r="K2" s="6"/>
      <c r="L2" s="6"/>
      <c r="M2" s="2" t="s">
        <v>1970</v>
      </c>
      <c r="N2" s="2" t="s">
        <v>2005</v>
      </c>
      <c r="O2" s="2" t="s">
        <v>2098</v>
      </c>
      <c r="P2" s="2" t="s">
        <v>1988</v>
      </c>
      <c r="Q2" s="2" t="s">
        <v>1995</v>
      </c>
      <c r="R2" s="11" t="str">
        <f>HYPERLINK("http://slimages.macys.com/is/image/MCY/15617652 ")</f>
        <v xml:space="preserve">http://slimages.macys.com/is/image/MCY/15617652 </v>
      </c>
    </row>
    <row r="3" spans="1:18" ht="24.75" x14ac:dyDescent="0.25">
      <c r="A3" s="8" t="s">
        <v>877</v>
      </c>
      <c r="B3" s="2" t="s">
        <v>878</v>
      </c>
      <c r="C3" s="4">
        <v>1</v>
      </c>
      <c r="D3" s="6">
        <v>86.1</v>
      </c>
      <c r="E3" s="6">
        <v>86.1</v>
      </c>
      <c r="F3" s="9">
        <v>276.99</v>
      </c>
      <c r="G3" s="6">
        <v>276.99</v>
      </c>
      <c r="H3" s="4" t="s">
        <v>879</v>
      </c>
      <c r="I3" s="2" t="s">
        <v>2358</v>
      </c>
      <c r="J3" s="10"/>
      <c r="K3" s="6"/>
      <c r="L3" s="6"/>
      <c r="M3" s="2" t="s">
        <v>1970</v>
      </c>
      <c r="N3" s="2" t="s">
        <v>2626</v>
      </c>
      <c r="O3" s="2" t="s">
        <v>880</v>
      </c>
      <c r="P3" s="2" t="s">
        <v>1988</v>
      </c>
      <c r="Q3" s="2" t="s">
        <v>2305</v>
      </c>
      <c r="R3" s="11" t="str">
        <f>HYPERLINK("http://slimages.macys.com/is/image/MCY/11495059 ")</f>
        <v xml:space="preserve">http://slimages.macys.com/is/image/MCY/11495059 </v>
      </c>
    </row>
    <row r="4" spans="1:18" ht="120.75" x14ac:dyDescent="0.25">
      <c r="A4" s="8" t="s">
        <v>2494</v>
      </c>
      <c r="B4" s="2" t="s">
        <v>2495</v>
      </c>
      <c r="C4" s="4">
        <v>2</v>
      </c>
      <c r="D4" s="6">
        <v>71.400000000000006</v>
      </c>
      <c r="E4" s="6">
        <v>142.80000000000001</v>
      </c>
      <c r="F4" s="9">
        <v>178.99</v>
      </c>
      <c r="G4" s="6">
        <v>357.98</v>
      </c>
      <c r="H4" s="4" t="s">
        <v>2496</v>
      </c>
      <c r="I4" s="2" t="s">
        <v>2017</v>
      </c>
      <c r="J4" s="10" t="s">
        <v>2497</v>
      </c>
      <c r="K4" s="6"/>
      <c r="L4" s="6"/>
      <c r="M4" s="2" t="s">
        <v>1970</v>
      </c>
      <c r="N4" s="2" t="s">
        <v>2005</v>
      </c>
      <c r="O4" s="2" t="s">
        <v>2498</v>
      </c>
      <c r="P4" s="2" t="s">
        <v>2499</v>
      </c>
      <c r="Q4" s="2" t="s">
        <v>2500</v>
      </c>
      <c r="R4" s="11" t="str">
        <f>HYPERLINK("http://slimages.macys.com/is/image/MCY/10036050 ")</f>
        <v xml:space="preserve">http://slimages.macys.com/is/image/MCY/10036050 </v>
      </c>
    </row>
    <row r="5" spans="1:18" ht="108.75" x14ac:dyDescent="0.25">
      <c r="A5" s="8" t="s">
        <v>881</v>
      </c>
      <c r="B5" s="2" t="s">
        <v>882</v>
      </c>
      <c r="C5" s="4">
        <v>1</v>
      </c>
      <c r="D5" s="6">
        <v>77.8</v>
      </c>
      <c r="E5" s="6">
        <v>77.8</v>
      </c>
      <c r="F5" s="9">
        <v>179.99</v>
      </c>
      <c r="G5" s="6">
        <v>179.99</v>
      </c>
      <c r="H5" s="4">
        <v>80057</v>
      </c>
      <c r="I5" s="2" t="s">
        <v>2358</v>
      </c>
      <c r="J5" s="10"/>
      <c r="K5" s="6"/>
      <c r="L5" s="6"/>
      <c r="M5" s="2" t="s">
        <v>1970</v>
      </c>
      <c r="N5" s="2" t="s">
        <v>1986</v>
      </c>
      <c r="O5" s="2" t="s">
        <v>1999</v>
      </c>
      <c r="P5" s="2" t="s">
        <v>1988</v>
      </c>
      <c r="Q5" s="2" t="s">
        <v>883</v>
      </c>
      <c r="R5" s="11" t="str">
        <f>HYPERLINK("http://slimages.macys.com/is/image/MCY/10022693 ")</f>
        <v xml:space="preserve">http://slimages.macys.com/is/image/MCY/10022693 </v>
      </c>
    </row>
    <row r="6" spans="1:18" ht="36.75" x14ac:dyDescent="0.25">
      <c r="A6" s="8" t="s">
        <v>884</v>
      </c>
      <c r="B6" s="2" t="s">
        <v>885</v>
      </c>
      <c r="C6" s="4">
        <v>1</v>
      </c>
      <c r="D6" s="6">
        <v>74.010000000000005</v>
      </c>
      <c r="E6" s="6">
        <v>74.010000000000005</v>
      </c>
      <c r="F6" s="9">
        <v>169.99</v>
      </c>
      <c r="G6" s="6">
        <v>169.99</v>
      </c>
      <c r="H6" s="4" t="s">
        <v>886</v>
      </c>
      <c r="I6" s="2" t="s">
        <v>1993</v>
      </c>
      <c r="J6" s="10"/>
      <c r="K6" s="6"/>
      <c r="L6" s="6"/>
      <c r="M6" s="2" t="s">
        <v>1970</v>
      </c>
      <c r="N6" s="2" t="s">
        <v>2946</v>
      </c>
      <c r="O6" s="2" t="s">
        <v>2947</v>
      </c>
      <c r="P6" s="2" t="s">
        <v>1988</v>
      </c>
      <c r="Q6" s="2" t="s">
        <v>887</v>
      </c>
      <c r="R6" s="11" t="str">
        <f>HYPERLINK("http://slimages.macys.com/is/image/MCY/9852696 ")</f>
        <v xml:space="preserve">http://slimages.macys.com/is/image/MCY/9852696 </v>
      </c>
    </row>
    <row r="7" spans="1:18" ht="24.75" x14ac:dyDescent="0.25">
      <c r="A7" s="8" t="s">
        <v>2943</v>
      </c>
      <c r="B7" s="2" t="s">
        <v>2944</v>
      </c>
      <c r="C7" s="4">
        <v>1</v>
      </c>
      <c r="D7" s="6">
        <v>62.46</v>
      </c>
      <c r="E7" s="6">
        <v>62.46</v>
      </c>
      <c r="F7" s="9">
        <v>199.99</v>
      </c>
      <c r="G7" s="6">
        <v>199.99</v>
      </c>
      <c r="H7" s="4" t="s">
        <v>2945</v>
      </c>
      <c r="I7" s="2" t="s">
        <v>2071</v>
      </c>
      <c r="J7" s="10"/>
      <c r="K7" s="6"/>
      <c r="L7" s="6"/>
      <c r="M7" s="2" t="s">
        <v>1970</v>
      </c>
      <c r="N7" s="2" t="s">
        <v>2946</v>
      </c>
      <c r="O7" s="2" t="s">
        <v>2947</v>
      </c>
      <c r="P7" s="2" t="s">
        <v>1988</v>
      </c>
      <c r="Q7" s="2" t="s">
        <v>2305</v>
      </c>
      <c r="R7" s="11" t="str">
        <f>HYPERLINK("http://slimages.macys.com/is/image/MCY/13906616 ")</f>
        <v xml:space="preserve">http://slimages.macys.com/is/image/MCY/13906616 </v>
      </c>
    </row>
    <row r="8" spans="1:18" ht="24.75" x14ac:dyDescent="0.25">
      <c r="A8" s="8" t="s">
        <v>888</v>
      </c>
      <c r="B8" s="2" t="s">
        <v>889</v>
      </c>
      <c r="C8" s="4">
        <v>1</v>
      </c>
      <c r="D8" s="6">
        <v>56.39</v>
      </c>
      <c r="E8" s="6">
        <v>56.39</v>
      </c>
      <c r="F8" s="9">
        <v>147.99</v>
      </c>
      <c r="G8" s="6">
        <v>147.99</v>
      </c>
      <c r="H8" s="4" t="s">
        <v>890</v>
      </c>
      <c r="I8" s="2" t="s">
        <v>2017</v>
      </c>
      <c r="J8" s="10"/>
      <c r="K8" s="6"/>
      <c r="L8" s="6"/>
      <c r="M8" s="2" t="s">
        <v>1970</v>
      </c>
      <c r="N8" s="2" t="s">
        <v>891</v>
      </c>
      <c r="O8" s="2" t="s">
        <v>892</v>
      </c>
      <c r="P8" s="2" t="s">
        <v>1988</v>
      </c>
      <c r="Q8" s="2" t="s">
        <v>893</v>
      </c>
      <c r="R8" s="11" t="str">
        <f>HYPERLINK("http://slimages.macys.com/is/image/MCY/16330411 ")</f>
        <v xml:space="preserve">http://slimages.macys.com/is/image/MCY/16330411 </v>
      </c>
    </row>
    <row r="9" spans="1:18" ht="60.75" x14ac:dyDescent="0.25">
      <c r="A9" s="8" t="s">
        <v>894</v>
      </c>
      <c r="B9" s="2" t="s">
        <v>895</v>
      </c>
      <c r="C9" s="4">
        <v>1</v>
      </c>
      <c r="D9" s="6">
        <v>48.08</v>
      </c>
      <c r="E9" s="6">
        <v>48.08</v>
      </c>
      <c r="F9" s="9">
        <v>172.99</v>
      </c>
      <c r="G9" s="6">
        <v>172.99</v>
      </c>
      <c r="H9" s="4">
        <v>66619</v>
      </c>
      <c r="I9" s="2" t="s">
        <v>2077</v>
      </c>
      <c r="J9" s="10"/>
      <c r="K9" s="6"/>
      <c r="L9" s="6"/>
      <c r="M9" s="2" t="s">
        <v>1970</v>
      </c>
      <c r="N9" s="2" t="s">
        <v>1986</v>
      </c>
      <c r="O9" s="2" t="s">
        <v>1999</v>
      </c>
      <c r="P9" s="2" t="s">
        <v>1988</v>
      </c>
      <c r="Q9" s="2" t="s">
        <v>2000</v>
      </c>
      <c r="R9" s="11" t="str">
        <f>HYPERLINK("http://slimages.macys.com/is/image/MCY/11686245 ")</f>
        <v xml:space="preserve">http://slimages.macys.com/is/image/MCY/11686245 </v>
      </c>
    </row>
    <row r="10" spans="1:18" ht="24.75" x14ac:dyDescent="0.25">
      <c r="A10" s="8" t="s">
        <v>896</v>
      </c>
      <c r="B10" s="2" t="s">
        <v>897</v>
      </c>
      <c r="C10" s="4">
        <v>1</v>
      </c>
      <c r="D10" s="6">
        <v>40.6</v>
      </c>
      <c r="E10" s="6">
        <v>40.6</v>
      </c>
      <c r="F10" s="9">
        <v>119.99</v>
      </c>
      <c r="G10" s="6">
        <v>119.99</v>
      </c>
      <c r="H10" s="4" t="s">
        <v>898</v>
      </c>
      <c r="I10" s="2" t="s">
        <v>2017</v>
      </c>
      <c r="J10" s="10"/>
      <c r="K10" s="6"/>
      <c r="L10" s="6"/>
      <c r="M10" s="2" t="s">
        <v>1970</v>
      </c>
      <c r="N10" s="2" t="s">
        <v>2012</v>
      </c>
      <c r="O10" s="2" t="s">
        <v>2013</v>
      </c>
      <c r="P10" s="2" t="s">
        <v>1988</v>
      </c>
      <c r="Q10" s="2" t="s">
        <v>1995</v>
      </c>
      <c r="R10" s="11" t="str">
        <f>HYPERLINK("http://slimages.macys.com/is/image/MCY/15422791 ")</f>
        <v xml:space="preserve">http://slimages.macys.com/is/image/MCY/15422791 </v>
      </c>
    </row>
    <row r="11" spans="1:18" ht="60.75" x14ac:dyDescent="0.25">
      <c r="A11" s="8" t="s">
        <v>899</v>
      </c>
      <c r="B11" s="2" t="s">
        <v>900</v>
      </c>
      <c r="C11" s="4">
        <v>1</v>
      </c>
      <c r="D11" s="6">
        <v>27.29</v>
      </c>
      <c r="E11" s="6">
        <v>27.29</v>
      </c>
      <c r="F11" s="9">
        <v>60.99</v>
      </c>
      <c r="G11" s="6">
        <v>60.99</v>
      </c>
      <c r="H11" s="4" t="s">
        <v>901</v>
      </c>
      <c r="I11" s="2" t="s">
        <v>2026</v>
      </c>
      <c r="J11" s="10"/>
      <c r="K11" s="6"/>
      <c r="L11" s="6"/>
      <c r="M11" s="2" t="s">
        <v>1970</v>
      </c>
      <c r="N11" s="2" t="s">
        <v>2012</v>
      </c>
      <c r="O11" s="2" t="s">
        <v>1987</v>
      </c>
      <c r="P11" s="2" t="s">
        <v>1988</v>
      </c>
      <c r="Q11" s="2" t="s">
        <v>902</v>
      </c>
      <c r="R11" s="11" t="str">
        <f>HYPERLINK("http://slimages.macys.com/is/image/MCY/12071108 ")</f>
        <v xml:space="preserve">http://slimages.macys.com/is/image/MCY/12071108 </v>
      </c>
    </row>
    <row r="12" spans="1:18" ht="24.75" x14ac:dyDescent="0.25">
      <c r="A12" s="8" t="s">
        <v>903</v>
      </c>
      <c r="B12" s="2" t="s">
        <v>904</v>
      </c>
      <c r="C12" s="4">
        <v>1</v>
      </c>
      <c r="D12" s="6">
        <v>26.59</v>
      </c>
      <c r="E12" s="6">
        <v>26.59</v>
      </c>
      <c r="F12" s="9">
        <v>55.99</v>
      </c>
      <c r="G12" s="6">
        <v>55.99</v>
      </c>
      <c r="H12" s="4" t="s">
        <v>905</v>
      </c>
      <c r="I12" s="2" t="s">
        <v>1993</v>
      </c>
      <c r="J12" s="10"/>
      <c r="K12" s="6"/>
      <c r="L12" s="6"/>
      <c r="M12" s="2" t="s">
        <v>1970</v>
      </c>
      <c r="N12" s="2" t="s">
        <v>2012</v>
      </c>
      <c r="O12" s="2" t="s">
        <v>1987</v>
      </c>
      <c r="P12" s="2" t="s">
        <v>1988</v>
      </c>
      <c r="Q12" s="2" t="s">
        <v>1995</v>
      </c>
      <c r="R12" s="11" t="str">
        <f>HYPERLINK("http://slimages.macys.com/is/image/MCY/9775066 ")</f>
        <v xml:space="preserve">http://slimages.macys.com/is/image/MCY/9775066 </v>
      </c>
    </row>
    <row r="13" spans="1:18" ht="60.75" x14ac:dyDescent="0.25">
      <c r="A13" s="8" t="s">
        <v>906</v>
      </c>
      <c r="B13" s="2" t="s">
        <v>907</v>
      </c>
      <c r="C13" s="4">
        <v>1</v>
      </c>
      <c r="D13" s="6">
        <v>25.16</v>
      </c>
      <c r="E13" s="6">
        <v>25.16</v>
      </c>
      <c r="F13" s="9">
        <v>65.989999999999995</v>
      </c>
      <c r="G13" s="6">
        <v>65.989999999999995</v>
      </c>
      <c r="H13" s="4" t="s">
        <v>908</v>
      </c>
      <c r="I13" s="2" t="s">
        <v>2087</v>
      </c>
      <c r="J13" s="10"/>
      <c r="K13" s="6"/>
      <c r="L13" s="6"/>
      <c r="M13" s="2" t="s">
        <v>1970</v>
      </c>
      <c r="N13" s="2" t="s">
        <v>2012</v>
      </c>
      <c r="O13" s="2" t="s">
        <v>2196</v>
      </c>
      <c r="P13" s="2" t="s">
        <v>1988</v>
      </c>
      <c r="Q13" s="2" t="s">
        <v>909</v>
      </c>
      <c r="R13" s="11" t="str">
        <f>HYPERLINK("http://slimages.macys.com/is/image/MCY/13534563 ")</f>
        <v xml:space="preserve">http://slimages.macys.com/is/image/MCY/13534563 </v>
      </c>
    </row>
    <row r="14" spans="1:18" ht="24.75" x14ac:dyDescent="0.25">
      <c r="A14" s="8" t="s">
        <v>2904</v>
      </c>
      <c r="B14" s="2" t="s">
        <v>910</v>
      </c>
      <c r="C14" s="4">
        <v>2</v>
      </c>
      <c r="D14" s="6">
        <v>19.690000000000001</v>
      </c>
      <c r="E14" s="6">
        <v>39.380000000000003</v>
      </c>
      <c r="F14" s="9">
        <v>59.99</v>
      </c>
      <c r="G14" s="6">
        <v>119.98</v>
      </c>
      <c r="H14" s="4" t="s">
        <v>2903</v>
      </c>
      <c r="I14" s="2" t="s">
        <v>2897</v>
      </c>
      <c r="J14" s="10"/>
      <c r="K14" s="6"/>
      <c r="L14" s="6"/>
      <c r="M14" s="2" t="s">
        <v>1970</v>
      </c>
      <c r="N14" s="2" t="s">
        <v>2032</v>
      </c>
      <c r="O14" s="2" t="s">
        <v>2898</v>
      </c>
      <c r="P14" s="2" t="s">
        <v>1988</v>
      </c>
      <c r="Q14" s="2" t="s">
        <v>1995</v>
      </c>
      <c r="R14" s="11" t="str">
        <f>HYPERLINK("http://slimages.macys.com/is/image/MCY/9965724 ")</f>
        <v xml:space="preserve">http://slimages.macys.com/is/image/MCY/9965724 </v>
      </c>
    </row>
    <row r="15" spans="1:18" ht="24.75" x14ac:dyDescent="0.25">
      <c r="A15" s="8" t="s">
        <v>911</v>
      </c>
      <c r="B15" s="2" t="s">
        <v>912</v>
      </c>
      <c r="C15" s="4">
        <v>1</v>
      </c>
      <c r="D15" s="6">
        <v>21.04</v>
      </c>
      <c r="E15" s="6">
        <v>21.04</v>
      </c>
      <c r="F15" s="9">
        <v>49.99</v>
      </c>
      <c r="G15" s="6">
        <v>49.99</v>
      </c>
      <c r="H15" s="4" t="s">
        <v>913</v>
      </c>
      <c r="I15" s="2" t="s">
        <v>2017</v>
      </c>
      <c r="J15" s="10"/>
      <c r="K15" s="6"/>
      <c r="L15" s="6"/>
      <c r="M15" s="2" t="s">
        <v>1970</v>
      </c>
      <c r="N15" s="2" t="s">
        <v>1986</v>
      </c>
      <c r="O15" s="2" t="s">
        <v>2967</v>
      </c>
      <c r="P15" s="2" t="s">
        <v>1988</v>
      </c>
      <c r="Q15" s="2" t="s">
        <v>2063</v>
      </c>
      <c r="R15" s="11" t="str">
        <f>HYPERLINK("http://slimages.macys.com/is/image/MCY/13356531 ")</f>
        <v xml:space="preserve">http://slimages.macys.com/is/image/MCY/13356531 </v>
      </c>
    </row>
    <row r="16" spans="1:18" ht="24.75" x14ac:dyDescent="0.25">
      <c r="A16" s="8" t="s">
        <v>914</v>
      </c>
      <c r="B16" s="2" t="s">
        <v>915</v>
      </c>
      <c r="C16" s="4">
        <v>1</v>
      </c>
      <c r="D16" s="6">
        <v>20.100000000000001</v>
      </c>
      <c r="E16" s="6">
        <v>20.100000000000001</v>
      </c>
      <c r="F16" s="9">
        <v>59.99</v>
      </c>
      <c r="G16" s="6">
        <v>59.99</v>
      </c>
      <c r="H16" s="4">
        <v>10005023000</v>
      </c>
      <c r="I16" s="2" t="s">
        <v>2021</v>
      </c>
      <c r="J16" s="10"/>
      <c r="K16" s="6"/>
      <c r="L16" s="6"/>
      <c r="M16" s="2" t="s">
        <v>1970</v>
      </c>
      <c r="N16" s="2" t="s">
        <v>2946</v>
      </c>
      <c r="O16" s="2" t="s">
        <v>2947</v>
      </c>
      <c r="P16" s="2" t="s">
        <v>1988</v>
      </c>
      <c r="Q16" s="2"/>
      <c r="R16" s="11" t="str">
        <f>HYPERLINK("http://slimages.macys.com/is/image/MCY/12656217 ")</f>
        <v xml:space="preserve">http://slimages.macys.com/is/image/MCY/12656217 </v>
      </c>
    </row>
    <row r="17" spans="1:18" ht="24.75" x14ac:dyDescent="0.25">
      <c r="A17" s="8" t="s">
        <v>916</v>
      </c>
      <c r="B17" s="2" t="s">
        <v>917</v>
      </c>
      <c r="C17" s="4">
        <v>1</v>
      </c>
      <c r="D17" s="6">
        <v>19.27</v>
      </c>
      <c r="E17" s="6">
        <v>19.27</v>
      </c>
      <c r="F17" s="9">
        <v>46.99</v>
      </c>
      <c r="G17" s="6">
        <v>46.99</v>
      </c>
      <c r="H17" s="4" t="s">
        <v>918</v>
      </c>
      <c r="I17" s="2"/>
      <c r="J17" s="10"/>
      <c r="K17" s="6"/>
      <c r="L17" s="6"/>
      <c r="M17" s="2" t="s">
        <v>1970</v>
      </c>
      <c r="N17" s="2" t="s">
        <v>1986</v>
      </c>
      <c r="O17" s="2" t="s">
        <v>919</v>
      </c>
      <c r="P17" s="2" t="s">
        <v>1988</v>
      </c>
      <c r="Q17" s="2" t="s">
        <v>1995</v>
      </c>
      <c r="R17" s="11" t="str">
        <f>HYPERLINK("http://slimages.macys.com/is/image/MCY/15421097 ")</f>
        <v xml:space="preserve">http://slimages.macys.com/is/image/MCY/15421097 </v>
      </c>
    </row>
    <row r="18" spans="1:18" ht="24.75" x14ac:dyDescent="0.25">
      <c r="A18" s="8" t="s">
        <v>920</v>
      </c>
      <c r="B18" s="2" t="s">
        <v>921</v>
      </c>
      <c r="C18" s="4">
        <v>1</v>
      </c>
      <c r="D18" s="6">
        <v>18.52</v>
      </c>
      <c r="E18" s="6">
        <v>18.52</v>
      </c>
      <c r="F18" s="9">
        <v>49.99</v>
      </c>
      <c r="G18" s="6">
        <v>49.99</v>
      </c>
      <c r="H18" s="4" t="s">
        <v>922</v>
      </c>
      <c r="I18" s="2" t="s">
        <v>2004</v>
      </c>
      <c r="J18" s="10"/>
      <c r="K18" s="6"/>
      <c r="L18" s="6"/>
      <c r="M18" s="2" t="s">
        <v>1970</v>
      </c>
      <c r="N18" s="2" t="s">
        <v>1986</v>
      </c>
      <c r="O18" s="2" t="s">
        <v>2967</v>
      </c>
      <c r="P18" s="2" t="s">
        <v>1988</v>
      </c>
      <c r="Q18" s="2" t="s">
        <v>2053</v>
      </c>
      <c r="R18" s="11" t="str">
        <f>HYPERLINK("http://slimages.macys.com/is/image/MCY/11792503 ")</f>
        <v xml:space="preserve">http://slimages.macys.com/is/image/MCY/11792503 </v>
      </c>
    </row>
    <row r="19" spans="1:18" ht="24.75" x14ac:dyDescent="0.25">
      <c r="A19" s="8" t="s">
        <v>923</v>
      </c>
      <c r="B19" s="2" t="s">
        <v>924</v>
      </c>
      <c r="C19" s="4">
        <v>8</v>
      </c>
      <c r="D19" s="6">
        <v>18.52</v>
      </c>
      <c r="E19" s="6">
        <v>148.16</v>
      </c>
      <c r="F19" s="9">
        <v>49.99</v>
      </c>
      <c r="G19" s="6">
        <v>399.92</v>
      </c>
      <c r="H19" s="4">
        <v>20557022</v>
      </c>
      <c r="I19" s="2" t="s">
        <v>2004</v>
      </c>
      <c r="J19" s="10"/>
      <c r="K19" s="6"/>
      <c r="L19" s="6"/>
      <c r="M19" s="2" t="s">
        <v>1970</v>
      </c>
      <c r="N19" s="2" t="s">
        <v>1986</v>
      </c>
      <c r="O19" s="2" t="s">
        <v>2967</v>
      </c>
      <c r="P19" s="2" t="s">
        <v>1988</v>
      </c>
      <c r="Q19" s="2" t="s">
        <v>2053</v>
      </c>
      <c r="R19" s="11" t="str">
        <f>HYPERLINK("http://slimages.macys.com/is/image/MCY/11792503 ")</f>
        <v xml:space="preserve">http://slimages.macys.com/is/image/MCY/11792503 </v>
      </c>
    </row>
    <row r="20" spans="1:18" ht="24.75" x14ac:dyDescent="0.25">
      <c r="A20" s="8" t="s">
        <v>925</v>
      </c>
      <c r="B20" s="2" t="s">
        <v>926</v>
      </c>
      <c r="C20" s="4">
        <v>1</v>
      </c>
      <c r="D20" s="6">
        <v>14.25</v>
      </c>
      <c r="E20" s="6">
        <v>14.25</v>
      </c>
      <c r="F20" s="9">
        <v>29.99</v>
      </c>
      <c r="G20" s="6">
        <v>29.99</v>
      </c>
      <c r="H20" s="4" t="s">
        <v>927</v>
      </c>
      <c r="I20" s="2"/>
      <c r="J20" s="10"/>
      <c r="K20" s="6"/>
      <c r="L20" s="6"/>
      <c r="M20" s="2" t="s">
        <v>1970</v>
      </c>
      <c r="N20" s="2" t="s">
        <v>2012</v>
      </c>
      <c r="O20" s="2" t="s">
        <v>2448</v>
      </c>
      <c r="P20" s="2" t="s">
        <v>1988</v>
      </c>
      <c r="Q20" s="2"/>
      <c r="R20" s="11" t="str">
        <f>HYPERLINK("http://slimages.macys.com/is/image/MCY/13701059 ")</f>
        <v xml:space="preserve">http://slimages.macys.com/is/image/MCY/13701059 </v>
      </c>
    </row>
    <row r="21" spans="1:18" ht="24.75" x14ac:dyDescent="0.25">
      <c r="A21" s="8" t="s">
        <v>928</v>
      </c>
      <c r="B21" s="2" t="s">
        <v>929</v>
      </c>
      <c r="C21" s="4">
        <v>2</v>
      </c>
      <c r="D21" s="6">
        <v>14.19</v>
      </c>
      <c r="E21" s="6">
        <v>28.38</v>
      </c>
      <c r="F21" s="9">
        <v>41.99</v>
      </c>
      <c r="G21" s="6">
        <v>83.98</v>
      </c>
      <c r="H21" s="4" t="s">
        <v>930</v>
      </c>
      <c r="I21" s="2" t="s">
        <v>2071</v>
      </c>
      <c r="J21" s="10" t="s">
        <v>2107</v>
      </c>
      <c r="K21" s="6"/>
      <c r="L21" s="6"/>
      <c r="M21" s="2" t="s">
        <v>1970</v>
      </c>
      <c r="N21" s="2" t="s">
        <v>2012</v>
      </c>
      <c r="O21" s="2" t="s">
        <v>2108</v>
      </c>
      <c r="P21" s="2" t="s">
        <v>1988</v>
      </c>
      <c r="Q21" s="2" t="s">
        <v>2063</v>
      </c>
      <c r="R21" s="11" t="str">
        <f>HYPERLINK("http://slimages.macys.com/is/image/MCY/13418358 ")</f>
        <v xml:space="preserve">http://slimages.macys.com/is/image/MCY/13418358 </v>
      </c>
    </row>
    <row r="22" spans="1:18" ht="24.75" x14ac:dyDescent="0.25">
      <c r="A22" s="8" t="s">
        <v>931</v>
      </c>
      <c r="B22" s="2" t="s">
        <v>932</v>
      </c>
      <c r="C22" s="4">
        <v>1</v>
      </c>
      <c r="D22" s="6">
        <v>13.39</v>
      </c>
      <c r="E22" s="6">
        <v>13.39</v>
      </c>
      <c r="F22" s="9">
        <v>26.99</v>
      </c>
      <c r="G22" s="6">
        <v>26.99</v>
      </c>
      <c r="H22" s="4" t="s">
        <v>933</v>
      </c>
      <c r="I22" s="2" t="s">
        <v>1993</v>
      </c>
      <c r="J22" s="10" t="s">
        <v>2314</v>
      </c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 t="s">
        <v>2315</v>
      </c>
      <c r="R22" s="11" t="str">
        <f>HYPERLINK("http://slimages.macys.com/is/image/MCY/9613901 ")</f>
        <v xml:space="preserve">http://slimages.macys.com/is/image/MCY/9613901 </v>
      </c>
    </row>
    <row r="23" spans="1:18" ht="24.75" x14ac:dyDescent="0.25">
      <c r="A23" s="8" t="s">
        <v>832</v>
      </c>
      <c r="B23" s="2" t="s">
        <v>833</v>
      </c>
      <c r="C23" s="4">
        <v>2</v>
      </c>
      <c r="D23" s="6">
        <v>12.33</v>
      </c>
      <c r="E23" s="6">
        <v>24.66</v>
      </c>
      <c r="F23" s="9">
        <v>29.99</v>
      </c>
      <c r="G23" s="6">
        <v>59.98</v>
      </c>
      <c r="H23" s="4" t="s">
        <v>834</v>
      </c>
      <c r="I23" s="2"/>
      <c r="J23" s="10"/>
      <c r="K23" s="6"/>
      <c r="L23" s="6"/>
      <c r="M23" s="2" t="s">
        <v>1970</v>
      </c>
      <c r="N23" s="2" t="s">
        <v>1986</v>
      </c>
      <c r="O23" s="2" t="s">
        <v>1994</v>
      </c>
      <c r="P23" s="2" t="s">
        <v>1988</v>
      </c>
      <c r="Q23" s="2" t="s">
        <v>1995</v>
      </c>
      <c r="R23" s="11" t="str">
        <f>HYPERLINK("http://slimages.macys.com/is/image/MCY/16344436 ")</f>
        <v xml:space="preserve">http://slimages.macys.com/is/image/MCY/16344436 </v>
      </c>
    </row>
    <row r="24" spans="1:18" ht="24.75" x14ac:dyDescent="0.25">
      <c r="A24" s="8" t="s">
        <v>934</v>
      </c>
      <c r="B24" s="2" t="s">
        <v>935</v>
      </c>
      <c r="C24" s="4">
        <v>5</v>
      </c>
      <c r="D24" s="6">
        <v>11.75</v>
      </c>
      <c r="E24" s="6">
        <v>58.75</v>
      </c>
      <c r="F24" s="9">
        <v>24.99</v>
      </c>
      <c r="G24" s="6">
        <v>124.95</v>
      </c>
      <c r="H24" s="4" t="s">
        <v>936</v>
      </c>
      <c r="I24" s="2" t="s">
        <v>2077</v>
      </c>
      <c r="J24" s="10" t="s">
        <v>937</v>
      </c>
      <c r="K24" s="6"/>
      <c r="L24" s="6"/>
      <c r="M24" s="2" t="s">
        <v>1970</v>
      </c>
      <c r="N24" s="2" t="s">
        <v>805</v>
      </c>
      <c r="O24" s="2" t="s">
        <v>2967</v>
      </c>
      <c r="P24" s="2" t="s">
        <v>1988</v>
      </c>
      <c r="Q24" s="2" t="s">
        <v>938</v>
      </c>
      <c r="R24" s="11" t="str">
        <f>HYPERLINK("http://slimages.macys.com/is/image/MCY/10523452 ")</f>
        <v xml:space="preserve">http://slimages.macys.com/is/image/MCY/10523452 </v>
      </c>
    </row>
    <row r="25" spans="1:18" ht="24.75" x14ac:dyDescent="0.25">
      <c r="A25" s="8" t="s">
        <v>939</v>
      </c>
      <c r="B25" s="2" t="s">
        <v>940</v>
      </c>
      <c r="C25" s="4">
        <v>2</v>
      </c>
      <c r="D25" s="6">
        <v>11.75</v>
      </c>
      <c r="E25" s="6">
        <v>23.5</v>
      </c>
      <c r="F25" s="9">
        <v>24.99</v>
      </c>
      <c r="G25" s="6">
        <v>49.98</v>
      </c>
      <c r="H25" s="4" t="s">
        <v>941</v>
      </c>
      <c r="I25" s="2" t="s">
        <v>2120</v>
      </c>
      <c r="J25" s="10" t="s">
        <v>937</v>
      </c>
      <c r="K25" s="6"/>
      <c r="L25" s="6"/>
      <c r="M25" s="2" t="s">
        <v>1970</v>
      </c>
      <c r="N25" s="2" t="s">
        <v>805</v>
      </c>
      <c r="O25" s="2" t="s">
        <v>2967</v>
      </c>
      <c r="P25" s="2" t="s">
        <v>1988</v>
      </c>
      <c r="Q25" s="2" t="s">
        <v>938</v>
      </c>
      <c r="R25" s="11" t="str">
        <f>HYPERLINK("http://slimages.macys.com/is/image/MCY/10523452 ")</f>
        <v xml:space="preserve">http://slimages.macys.com/is/image/MCY/10523452 </v>
      </c>
    </row>
    <row r="26" spans="1:18" ht="24.75" x14ac:dyDescent="0.25">
      <c r="A26" s="8" t="s">
        <v>942</v>
      </c>
      <c r="B26" s="2" t="s">
        <v>943</v>
      </c>
      <c r="C26" s="4">
        <v>6</v>
      </c>
      <c r="D26" s="6">
        <v>11.75</v>
      </c>
      <c r="E26" s="6">
        <v>70.5</v>
      </c>
      <c r="F26" s="9">
        <v>24.99</v>
      </c>
      <c r="G26" s="6">
        <v>149.94</v>
      </c>
      <c r="H26" s="4" t="s">
        <v>944</v>
      </c>
      <c r="I26" s="2" t="s">
        <v>2004</v>
      </c>
      <c r="J26" s="10" t="s">
        <v>937</v>
      </c>
      <c r="K26" s="6"/>
      <c r="L26" s="6"/>
      <c r="M26" s="2" t="s">
        <v>1970</v>
      </c>
      <c r="N26" s="2" t="s">
        <v>805</v>
      </c>
      <c r="O26" s="2" t="s">
        <v>2967</v>
      </c>
      <c r="P26" s="2" t="s">
        <v>1988</v>
      </c>
      <c r="Q26" s="2" t="s">
        <v>938</v>
      </c>
      <c r="R26" s="11" t="str">
        <f>HYPERLINK("http://slimages.macys.com/is/image/MCY/10523452 ")</f>
        <v xml:space="preserve">http://slimages.macys.com/is/image/MCY/10523452 </v>
      </c>
    </row>
    <row r="27" spans="1:18" ht="24.75" x14ac:dyDescent="0.25">
      <c r="A27" s="8" t="s">
        <v>945</v>
      </c>
      <c r="B27" s="2" t="s">
        <v>946</v>
      </c>
      <c r="C27" s="4">
        <v>5</v>
      </c>
      <c r="D27" s="6">
        <v>11.75</v>
      </c>
      <c r="E27" s="6">
        <v>58.75</v>
      </c>
      <c r="F27" s="9">
        <v>24.99</v>
      </c>
      <c r="G27" s="6">
        <v>124.95</v>
      </c>
      <c r="H27" s="4" t="s">
        <v>947</v>
      </c>
      <c r="I27" s="2" t="s">
        <v>2283</v>
      </c>
      <c r="J27" s="10" t="s">
        <v>937</v>
      </c>
      <c r="K27" s="6"/>
      <c r="L27" s="6"/>
      <c r="M27" s="2" t="s">
        <v>1970</v>
      </c>
      <c r="N27" s="2" t="s">
        <v>805</v>
      </c>
      <c r="O27" s="2" t="s">
        <v>2967</v>
      </c>
      <c r="P27" s="2" t="s">
        <v>1988</v>
      </c>
      <c r="Q27" s="2" t="s">
        <v>938</v>
      </c>
      <c r="R27" s="11" t="str">
        <f>HYPERLINK("http://slimages.macys.com/is/image/MCY/10523452 ")</f>
        <v xml:space="preserve">http://slimages.macys.com/is/image/MCY/10523452 </v>
      </c>
    </row>
    <row r="28" spans="1:18" ht="24.75" x14ac:dyDescent="0.25">
      <c r="A28" s="8" t="s">
        <v>948</v>
      </c>
      <c r="B28" s="2" t="s">
        <v>949</v>
      </c>
      <c r="C28" s="4">
        <v>1</v>
      </c>
      <c r="D28" s="6">
        <v>6.1</v>
      </c>
      <c r="E28" s="6">
        <v>6.1</v>
      </c>
      <c r="F28" s="9">
        <v>16.989999999999998</v>
      </c>
      <c r="G28" s="6">
        <v>16.989999999999998</v>
      </c>
      <c r="H28" s="4" t="s">
        <v>950</v>
      </c>
      <c r="I28" s="2" t="s">
        <v>2937</v>
      </c>
      <c r="J28" s="10" t="s">
        <v>2326</v>
      </c>
      <c r="K28" s="6"/>
      <c r="L28" s="6"/>
      <c r="M28" s="2" t="s">
        <v>1970</v>
      </c>
      <c r="N28" s="2" t="s">
        <v>2851</v>
      </c>
      <c r="O28" s="2" t="s">
        <v>2854</v>
      </c>
      <c r="P28" s="2" t="s">
        <v>1988</v>
      </c>
      <c r="Q28" s="2" t="s">
        <v>2305</v>
      </c>
      <c r="R28" s="11" t="str">
        <f>HYPERLINK("http://slimages.macys.com/is/image/MCY/12737864 ")</f>
        <v xml:space="preserve">http://slimages.macys.com/is/image/MCY/12737864 </v>
      </c>
    </row>
    <row r="29" spans="1:18" ht="24.75" x14ac:dyDescent="0.25">
      <c r="A29" s="8" t="s">
        <v>951</v>
      </c>
      <c r="B29" s="2" t="s">
        <v>952</v>
      </c>
      <c r="C29" s="4">
        <v>1</v>
      </c>
      <c r="D29" s="6">
        <v>4.5</v>
      </c>
      <c r="E29" s="6">
        <v>4.5</v>
      </c>
      <c r="F29" s="9">
        <v>9.99</v>
      </c>
      <c r="G29" s="6">
        <v>9.99</v>
      </c>
      <c r="H29" s="4" t="s">
        <v>953</v>
      </c>
      <c r="I29" s="2" t="s">
        <v>954</v>
      </c>
      <c r="J29" s="10" t="s">
        <v>955</v>
      </c>
      <c r="K29" s="6"/>
      <c r="L29" s="6"/>
      <c r="M29" s="2" t="s">
        <v>1970</v>
      </c>
      <c r="N29" s="2" t="s">
        <v>2184</v>
      </c>
      <c r="O29" s="2" t="s">
        <v>956</v>
      </c>
      <c r="P29" s="2" t="s">
        <v>1988</v>
      </c>
      <c r="Q29" s="2" t="s">
        <v>1995</v>
      </c>
      <c r="R29" s="11" t="str">
        <f>HYPERLINK("http://slimages.macys.com/is/image/MCY/9929213 ")</f>
        <v xml:space="preserve">http://slimages.macys.com/is/image/MCY/9929213 </v>
      </c>
    </row>
    <row r="30" spans="1:18" ht="24.75" x14ac:dyDescent="0.25">
      <c r="A30" s="8" t="s">
        <v>957</v>
      </c>
      <c r="B30" s="2" t="s">
        <v>958</v>
      </c>
      <c r="C30" s="4">
        <v>2</v>
      </c>
      <c r="D30" s="6">
        <v>2.63</v>
      </c>
      <c r="E30" s="6">
        <v>5.26</v>
      </c>
      <c r="F30" s="9">
        <v>9.99</v>
      </c>
      <c r="G30" s="6">
        <v>19.98</v>
      </c>
      <c r="H30" s="4" t="s">
        <v>959</v>
      </c>
      <c r="I30" s="2" t="s">
        <v>2430</v>
      </c>
      <c r="J30" s="10" t="s">
        <v>2107</v>
      </c>
      <c r="K30" s="6"/>
      <c r="L30" s="6"/>
      <c r="M30" s="2" t="s">
        <v>1970</v>
      </c>
      <c r="N30" s="2" t="s">
        <v>2012</v>
      </c>
      <c r="O30" s="2" t="s">
        <v>2062</v>
      </c>
      <c r="P30" s="2" t="s">
        <v>1988</v>
      </c>
      <c r="Q30" s="2" t="s">
        <v>1995</v>
      </c>
      <c r="R30" s="11" t="str">
        <f>HYPERLINK("http://slimages.macys.com/is/image/MCY/12819660 ")</f>
        <v xml:space="preserve">http://slimages.macys.com/is/image/MCY/12819660 </v>
      </c>
    </row>
    <row r="31" spans="1:18" ht="24.75" x14ac:dyDescent="0.25">
      <c r="A31" s="8" t="s">
        <v>960</v>
      </c>
      <c r="B31" s="2" t="s">
        <v>961</v>
      </c>
      <c r="C31" s="4">
        <v>1</v>
      </c>
      <c r="D31" s="6">
        <v>20</v>
      </c>
      <c r="E31" s="6">
        <v>20</v>
      </c>
      <c r="F31" s="9">
        <v>44.99</v>
      </c>
      <c r="G31" s="6">
        <v>44.99</v>
      </c>
      <c r="H31" s="4" t="s">
        <v>962</v>
      </c>
      <c r="I31" s="2"/>
      <c r="J31" s="10"/>
      <c r="K31" s="6"/>
      <c r="L31" s="6"/>
      <c r="M31" s="2" t="s">
        <v>1970</v>
      </c>
      <c r="N31" s="2" t="s">
        <v>1986</v>
      </c>
      <c r="O31" s="2" t="s">
        <v>919</v>
      </c>
      <c r="P31" s="2"/>
      <c r="Q31" s="2"/>
      <c r="R31" s="11"/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27"/>
  <sheetViews>
    <sheetView topLeftCell="A15" workbookViewId="0">
      <selection activeCell="K37" sqref="K37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7.140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1109</v>
      </c>
      <c r="B2" s="2" t="s">
        <v>1110</v>
      </c>
      <c r="C2" s="4">
        <v>2</v>
      </c>
      <c r="D2" s="6">
        <v>121.5</v>
      </c>
      <c r="E2" s="6">
        <v>243</v>
      </c>
      <c r="F2" s="9">
        <v>299.99</v>
      </c>
      <c r="G2" s="6">
        <v>599.98</v>
      </c>
      <c r="H2" s="4" t="s">
        <v>1111</v>
      </c>
      <c r="I2" s="2" t="s">
        <v>2294</v>
      </c>
      <c r="J2" s="10" t="s">
        <v>2737</v>
      </c>
      <c r="K2" s="6"/>
      <c r="L2" s="6"/>
      <c r="M2" s="2" t="s">
        <v>1970</v>
      </c>
      <c r="N2" s="2" t="s">
        <v>2626</v>
      </c>
      <c r="O2" s="2" t="s">
        <v>1053</v>
      </c>
      <c r="P2" s="2" t="s">
        <v>1988</v>
      </c>
      <c r="Q2" s="2" t="s">
        <v>1112</v>
      </c>
      <c r="R2" s="11" t="str">
        <f>HYPERLINK("http://slimages.macys.com/is/image/MCY/9184006 ")</f>
        <v xml:space="preserve">http://slimages.macys.com/is/image/MCY/9184006 </v>
      </c>
    </row>
    <row r="3" spans="1:18" ht="36.75" x14ac:dyDescent="0.25">
      <c r="A3" s="8" t="s">
        <v>1113</v>
      </c>
      <c r="B3" s="2" t="s">
        <v>1114</v>
      </c>
      <c r="C3" s="4">
        <v>1</v>
      </c>
      <c r="D3" s="6">
        <v>64.489999999999995</v>
      </c>
      <c r="E3" s="6">
        <v>64.489999999999995</v>
      </c>
      <c r="F3" s="9">
        <v>143.99</v>
      </c>
      <c r="G3" s="6">
        <v>143.99</v>
      </c>
      <c r="H3" s="4" t="s">
        <v>1115</v>
      </c>
      <c r="I3" s="2" t="s">
        <v>2021</v>
      </c>
      <c r="J3" s="10"/>
      <c r="K3" s="6"/>
      <c r="L3" s="6"/>
      <c r="M3" s="2" t="s">
        <v>1970</v>
      </c>
      <c r="N3" s="2" t="s">
        <v>2012</v>
      </c>
      <c r="O3" s="2" t="s">
        <v>1987</v>
      </c>
      <c r="P3" s="2" t="s">
        <v>1988</v>
      </c>
      <c r="Q3" s="2" t="s">
        <v>1116</v>
      </c>
      <c r="R3" s="11" t="str">
        <f>HYPERLINK("http://slimages.macys.com/is/image/MCY/12290540 ")</f>
        <v xml:space="preserve">http://slimages.macys.com/is/image/MCY/12290540 </v>
      </c>
    </row>
    <row r="4" spans="1:18" ht="24.75" x14ac:dyDescent="0.25">
      <c r="A4" s="8" t="s">
        <v>1117</v>
      </c>
      <c r="B4" s="2" t="s">
        <v>1118</v>
      </c>
      <c r="C4" s="4">
        <v>1</v>
      </c>
      <c r="D4" s="6">
        <v>74.83</v>
      </c>
      <c r="E4" s="6">
        <v>74.83</v>
      </c>
      <c r="F4" s="9">
        <v>169.99</v>
      </c>
      <c r="G4" s="6">
        <v>169.99</v>
      </c>
      <c r="H4" s="4" t="s">
        <v>1119</v>
      </c>
      <c r="I4" s="2" t="s">
        <v>2162</v>
      </c>
      <c r="J4" s="10"/>
      <c r="K4" s="6"/>
      <c r="L4" s="6"/>
      <c r="M4" s="2" t="s">
        <v>1970</v>
      </c>
      <c r="N4" s="2" t="s">
        <v>2946</v>
      </c>
      <c r="O4" s="2" t="s">
        <v>2947</v>
      </c>
      <c r="P4" s="2" t="s">
        <v>1988</v>
      </c>
      <c r="Q4" s="2" t="s">
        <v>1120</v>
      </c>
      <c r="R4" s="11" t="str">
        <f>HYPERLINK("http://slimages.macys.com/is/image/MCY/9760832 ")</f>
        <v xml:space="preserve">http://slimages.macys.com/is/image/MCY/9760832 </v>
      </c>
    </row>
    <row r="5" spans="1:18" ht="24.75" x14ac:dyDescent="0.25">
      <c r="A5" s="8" t="s">
        <v>1121</v>
      </c>
      <c r="B5" s="2" t="s">
        <v>1122</v>
      </c>
      <c r="C5" s="4">
        <v>1</v>
      </c>
      <c r="D5" s="6">
        <v>29.52</v>
      </c>
      <c r="E5" s="6">
        <v>29.52</v>
      </c>
      <c r="F5" s="9">
        <v>59.99</v>
      </c>
      <c r="G5" s="6">
        <v>59.99</v>
      </c>
      <c r="H5" s="4">
        <v>1001217000</v>
      </c>
      <c r="I5" s="2" t="s">
        <v>1993</v>
      </c>
      <c r="J5" s="10"/>
      <c r="K5" s="6"/>
      <c r="L5" s="6"/>
      <c r="M5" s="2" t="s">
        <v>1970</v>
      </c>
      <c r="N5" s="2" t="s">
        <v>2946</v>
      </c>
      <c r="O5" s="2" t="s">
        <v>2947</v>
      </c>
      <c r="P5" s="2" t="s">
        <v>1988</v>
      </c>
      <c r="Q5" s="2"/>
      <c r="R5" s="11" t="str">
        <f>HYPERLINK("http://slimages.macys.com/is/image/MCY/9333377 ")</f>
        <v xml:space="preserve">http://slimages.macys.com/is/image/MCY/9333377 </v>
      </c>
    </row>
    <row r="6" spans="1:18" ht="24.75" x14ac:dyDescent="0.25">
      <c r="A6" s="8" t="s">
        <v>1123</v>
      </c>
      <c r="B6" s="2" t="s">
        <v>1124</v>
      </c>
      <c r="C6" s="4">
        <v>2</v>
      </c>
      <c r="D6" s="6">
        <v>26.41</v>
      </c>
      <c r="E6" s="6">
        <v>52.82</v>
      </c>
      <c r="F6" s="9">
        <v>79.989999999999995</v>
      </c>
      <c r="G6" s="6">
        <v>159.97999999999999</v>
      </c>
      <c r="H6" s="4" t="s">
        <v>1125</v>
      </c>
      <c r="I6" s="2" t="s">
        <v>2603</v>
      </c>
      <c r="J6" s="10"/>
      <c r="K6" s="6"/>
      <c r="L6" s="6"/>
      <c r="M6" s="2" t="s">
        <v>1970</v>
      </c>
      <c r="N6" s="2" t="s">
        <v>2027</v>
      </c>
      <c r="O6" s="2" t="s">
        <v>1987</v>
      </c>
      <c r="P6" s="2" t="s">
        <v>2933</v>
      </c>
      <c r="Q6" s="2" t="s">
        <v>1995</v>
      </c>
      <c r="R6" s="11" t="str">
        <f>HYPERLINK("http://slimages.macys.com/is/image/MCY/2881466 ")</f>
        <v xml:space="preserve">http://slimages.macys.com/is/image/MCY/2881466 </v>
      </c>
    </row>
    <row r="7" spans="1:18" ht="24.75" x14ac:dyDescent="0.25">
      <c r="A7" s="8" t="s">
        <v>1126</v>
      </c>
      <c r="B7" s="2" t="s">
        <v>1127</v>
      </c>
      <c r="C7" s="4">
        <v>1</v>
      </c>
      <c r="D7" s="6">
        <v>25.92</v>
      </c>
      <c r="E7" s="6">
        <v>25.92</v>
      </c>
      <c r="F7" s="9">
        <v>49.99</v>
      </c>
      <c r="G7" s="6">
        <v>49.99</v>
      </c>
      <c r="H7" s="4" t="s">
        <v>1128</v>
      </c>
      <c r="I7" s="2" t="s">
        <v>1985</v>
      </c>
      <c r="J7" s="10"/>
      <c r="K7" s="6"/>
      <c r="L7" s="6"/>
      <c r="M7" s="2" t="s">
        <v>1970</v>
      </c>
      <c r="N7" s="2" t="s">
        <v>2295</v>
      </c>
      <c r="O7" s="2" t="s">
        <v>2296</v>
      </c>
      <c r="P7" s="2" t="s">
        <v>1988</v>
      </c>
      <c r="Q7" s="2"/>
      <c r="R7" s="11" t="str">
        <f>HYPERLINK("http://slimages.macys.com/is/image/MCY/9893970 ")</f>
        <v xml:space="preserve">http://slimages.macys.com/is/image/MCY/9893970 </v>
      </c>
    </row>
    <row r="8" spans="1:18" ht="48.75" x14ac:dyDescent="0.25">
      <c r="A8" s="8" t="s">
        <v>1129</v>
      </c>
      <c r="B8" s="2" t="s">
        <v>1130</v>
      </c>
      <c r="C8" s="4">
        <v>1</v>
      </c>
      <c r="D8" s="6">
        <v>23.11</v>
      </c>
      <c r="E8" s="6">
        <v>23.11</v>
      </c>
      <c r="F8" s="9">
        <v>62.99</v>
      </c>
      <c r="G8" s="6">
        <v>62.99</v>
      </c>
      <c r="H8" s="4">
        <v>80790</v>
      </c>
      <c r="I8" s="2" t="s">
        <v>1993</v>
      </c>
      <c r="J8" s="10"/>
      <c r="K8" s="6"/>
      <c r="L8" s="6"/>
      <c r="M8" s="2" t="s">
        <v>1970</v>
      </c>
      <c r="N8" s="2" t="s">
        <v>1986</v>
      </c>
      <c r="O8" s="2" t="s">
        <v>1999</v>
      </c>
      <c r="P8" s="2" t="s">
        <v>1988</v>
      </c>
      <c r="Q8" s="2" t="s">
        <v>1131</v>
      </c>
      <c r="R8" s="11" t="str">
        <f>HYPERLINK("http://slimages.macys.com/is/image/MCY/13040507 ")</f>
        <v xml:space="preserve">http://slimages.macys.com/is/image/MCY/13040507 </v>
      </c>
    </row>
    <row r="9" spans="1:18" ht="24.75" x14ac:dyDescent="0.25">
      <c r="A9" s="8" t="s">
        <v>1132</v>
      </c>
      <c r="B9" s="2" t="s">
        <v>1133</v>
      </c>
      <c r="C9" s="4">
        <v>1</v>
      </c>
      <c r="D9" s="6">
        <v>18</v>
      </c>
      <c r="E9" s="6">
        <v>18</v>
      </c>
      <c r="F9" s="9">
        <v>44.99</v>
      </c>
      <c r="G9" s="6">
        <v>44.99</v>
      </c>
      <c r="H9" s="4" t="s">
        <v>1134</v>
      </c>
      <c r="I9" s="2" t="s">
        <v>2106</v>
      </c>
      <c r="J9" s="10" t="s">
        <v>2107</v>
      </c>
      <c r="K9" s="6"/>
      <c r="L9" s="6"/>
      <c r="M9" s="2" t="s">
        <v>1970</v>
      </c>
      <c r="N9" s="2" t="s">
        <v>2012</v>
      </c>
      <c r="O9" s="2" t="s">
        <v>1135</v>
      </c>
      <c r="P9" s="2" t="s">
        <v>2039</v>
      </c>
      <c r="Q9" s="2" t="s">
        <v>1136</v>
      </c>
      <c r="R9" s="11" t="str">
        <f>HYPERLINK("http://slimages.macys.com/is/image/MCY/9576854 ")</f>
        <v xml:space="preserve">http://slimages.macys.com/is/image/MCY/9576854 </v>
      </c>
    </row>
    <row r="10" spans="1:18" ht="24.75" x14ac:dyDescent="0.25">
      <c r="A10" s="8" t="s">
        <v>1137</v>
      </c>
      <c r="B10" s="2" t="s">
        <v>1124</v>
      </c>
      <c r="C10" s="4">
        <v>3</v>
      </c>
      <c r="D10" s="6">
        <v>20.440000000000001</v>
      </c>
      <c r="E10" s="6">
        <v>61.32</v>
      </c>
      <c r="F10" s="9">
        <v>69.989999999999995</v>
      </c>
      <c r="G10" s="6">
        <v>209.97</v>
      </c>
      <c r="H10" s="4" t="s">
        <v>1138</v>
      </c>
      <c r="I10" s="2" t="s">
        <v>2530</v>
      </c>
      <c r="J10" s="10" t="s">
        <v>1139</v>
      </c>
      <c r="K10" s="6"/>
      <c r="L10" s="6"/>
      <c r="M10" s="2" t="s">
        <v>1970</v>
      </c>
      <c r="N10" s="2" t="s">
        <v>2027</v>
      </c>
      <c r="O10" s="2" t="s">
        <v>1987</v>
      </c>
      <c r="P10" s="2" t="s">
        <v>1988</v>
      </c>
      <c r="Q10" s="2" t="s">
        <v>1140</v>
      </c>
      <c r="R10" s="11" t="str">
        <f>HYPERLINK("http://slimages.macys.com/is/image/MCY/3086715 ")</f>
        <v xml:space="preserve">http://slimages.macys.com/is/image/MCY/3086715 </v>
      </c>
    </row>
    <row r="11" spans="1:18" ht="24.75" x14ac:dyDescent="0.25">
      <c r="A11" s="8" t="s">
        <v>1141</v>
      </c>
      <c r="B11" s="2" t="s">
        <v>1124</v>
      </c>
      <c r="C11" s="4">
        <v>1</v>
      </c>
      <c r="D11" s="6">
        <v>20.440000000000001</v>
      </c>
      <c r="E11" s="6">
        <v>20.440000000000001</v>
      </c>
      <c r="F11" s="9">
        <v>69.989999999999995</v>
      </c>
      <c r="G11" s="6">
        <v>69.989999999999995</v>
      </c>
      <c r="H11" s="4" t="s">
        <v>1142</v>
      </c>
      <c r="I11" s="2" t="s">
        <v>2603</v>
      </c>
      <c r="J11" s="10" t="s">
        <v>1139</v>
      </c>
      <c r="K11" s="6"/>
      <c r="L11" s="6"/>
      <c r="M11" s="2" t="s">
        <v>1970</v>
      </c>
      <c r="N11" s="2" t="s">
        <v>2027</v>
      </c>
      <c r="O11" s="2" t="s">
        <v>1987</v>
      </c>
      <c r="P11" s="2" t="s">
        <v>1988</v>
      </c>
      <c r="Q11" s="2" t="s">
        <v>1140</v>
      </c>
      <c r="R11" s="11" t="str">
        <f>HYPERLINK("http://slimages.macys.com/is/image/MCY/3086715 ")</f>
        <v xml:space="preserve">http://slimages.macys.com/is/image/MCY/3086715 </v>
      </c>
    </row>
    <row r="12" spans="1:18" ht="36.75" x14ac:dyDescent="0.25">
      <c r="A12" s="8" t="s">
        <v>1143</v>
      </c>
      <c r="B12" s="2" t="s">
        <v>1144</v>
      </c>
      <c r="C12" s="4">
        <v>3</v>
      </c>
      <c r="D12" s="6">
        <v>17.5</v>
      </c>
      <c r="E12" s="6">
        <v>52.5</v>
      </c>
      <c r="F12" s="9">
        <v>49.99</v>
      </c>
      <c r="G12" s="6">
        <v>149.97</v>
      </c>
      <c r="H12" s="4" t="s">
        <v>1145</v>
      </c>
      <c r="I12" s="2" t="s">
        <v>2031</v>
      </c>
      <c r="J12" s="10"/>
      <c r="K12" s="6"/>
      <c r="L12" s="6"/>
      <c r="M12" s="2" t="s">
        <v>1970</v>
      </c>
      <c r="N12" s="2" t="s">
        <v>2012</v>
      </c>
      <c r="O12" s="2" t="s">
        <v>2196</v>
      </c>
      <c r="P12" s="2" t="s">
        <v>1988</v>
      </c>
      <c r="Q12" s="2" t="s">
        <v>1146</v>
      </c>
      <c r="R12" s="11" t="str">
        <f>HYPERLINK("http://slimages.macys.com/is/image/MCY/15383649 ")</f>
        <v xml:space="preserve">http://slimages.macys.com/is/image/MCY/15383649 </v>
      </c>
    </row>
    <row r="13" spans="1:18" ht="24.75" x14ac:dyDescent="0.25">
      <c r="A13" s="8" t="s">
        <v>1147</v>
      </c>
      <c r="B13" s="2" t="s">
        <v>1148</v>
      </c>
      <c r="C13" s="4">
        <v>5</v>
      </c>
      <c r="D13" s="6">
        <v>17</v>
      </c>
      <c r="E13" s="6">
        <v>85</v>
      </c>
      <c r="F13" s="9">
        <v>34.99</v>
      </c>
      <c r="G13" s="6">
        <v>174.95</v>
      </c>
      <c r="H13" s="4" t="s">
        <v>1149</v>
      </c>
      <c r="I13" s="2"/>
      <c r="J13" s="10" t="s">
        <v>2072</v>
      </c>
      <c r="K13" s="6"/>
      <c r="L13" s="6"/>
      <c r="M13" s="2" t="s">
        <v>1970</v>
      </c>
      <c r="N13" s="2" t="s">
        <v>2012</v>
      </c>
      <c r="O13" s="2" t="s">
        <v>2967</v>
      </c>
      <c r="P13" s="2" t="s">
        <v>1988</v>
      </c>
      <c r="Q13" s="2" t="s">
        <v>1150</v>
      </c>
      <c r="R13" s="11" t="str">
        <f>HYPERLINK("http://slimages.macys.com/is/image/MCY/11447649 ")</f>
        <v xml:space="preserve">http://slimages.macys.com/is/image/MCY/11447649 </v>
      </c>
    </row>
    <row r="14" spans="1:18" ht="24.75" x14ac:dyDescent="0.25">
      <c r="A14" s="8" t="s">
        <v>1151</v>
      </c>
      <c r="B14" s="2" t="s">
        <v>1152</v>
      </c>
      <c r="C14" s="4">
        <v>6</v>
      </c>
      <c r="D14" s="6">
        <v>17</v>
      </c>
      <c r="E14" s="6">
        <v>102</v>
      </c>
      <c r="F14" s="9">
        <v>34.99</v>
      </c>
      <c r="G14" s="6">
        <v>209.94</v>
      </c>
      <c r="H14" s="4" t="s">
        <v>1153</v>
      </c>
      <c r="I14" s="2"/>
      <c r="J14" s="10" t="s">
        <v>2072</v>
      </c>
      <c r="K14" s="6"/>
      <c r="L14" s="6"/>
      <c r="M14" s="2" t="s">
        <v>1970</v>
      </c>
      <c r="N14" s="2" t="s">
        <v>2012</v>
      </c>
      <c r="O14" s="2" t="s">
        <v>2967</v>
      </c>
      <c r="P14" s="2" t="s">
        <v>1988</v>
      </c>
      <c r="Q14" s="2" t="s">
        <v>1150</v>
      </c>
      <c r="R14" s="11" t="str">
        <f>HYPERLINK("http://slimages.macys.com/is/image/MCY/11447643 ")</f>
        <v xml:space="preserve">http://slimages.macys.com/is/image/MCY/11447643 </v>
      </c>
    </row>
    <row r="15" spans="1:18" ht="24.75" x14ac:dyDescent="0.25">
      <c r="A15" s="8" t="s">
        <v>1154</v>
      </c>
      <c r="B15" s="2" t="s">
        <v>1155</v>
      </c>
      <c r="C15" s="4">
        <v>6</v>
      </c>
      <c r="D15" s="6">
        <v>17</v>
      </c>
      <c r="E15" s="6">
        <v>102</v>
      </c>
      <c r="F15" s="9">
        <v>34.99</v>
      </c>
      <c r="G15" s="6">
        <v>209.94</v>
      </c>
      <c r="H15" s="4">
        <v>2014450700</v>
      </c>
      <c r="I15" s="2"/>
      <c r="J15" s="10" t="s">
        <v>2072</v>
      </c>
      <c r="K15" s="6"/>
      <c r="L15" s="6"/>
      <c r="M15" s="2" t="s">
        <v>1970</v>
      </c>
      <c r="N15" s="2" t="s">
        <v>2012</v>
      </c>
      <c r="O15" s="2" t="s">
        <v>2967</v>
      </c>
      <c r="P15" s="2" t="s">
        <v>1988</v>
      </c>
      <c r="Q15" s="2" t="s">
        <v>1150</v>
      </c>
      <c r="R15" s="11" t="str">
        <f>HYPERLINK("http://slimages.macys.com/is/image/MCY/11447656 ")</f>
        <v xml:space="preserve">http://slimages.macys.com/is/image/MCY/11447656 </v>
      </c>
    </row>
    <row r="16" spans="1:18" ht="24.75" x14ac:dyDescent="0.25">
      <c r="A16" s="8" t="s">
        <v>1156</v>
      </c>
      <c r="B16" s="2" t="s">
        <v>1157</v>
      </c>
      <c r="C16" s="4">
        <v>6</v>
      </c>
      <c r="D16" s="6">
        <v>17</v>
      </c>
      <c r="E16" s="6">
        <v>102</v>
      </c>
      <c r="F16" s="9">
        <v>34.99</v>
      </c>
      <c r="G16" s="6">
        <v>209.94</v>
      </c>
      <c r="H16" s="4" t="s">
        <v>1158</v>
      </c>
      <c r="I16" s="2"/>
      <c r="J16" s="10" t="s">
        <v>2072</v>
      </c>
      <c r="K16" s="6"/>
      <c r="L16" s="6"/>
      <c r="M16" s="2" t="s">
        <v>1970</v>
      </c>
      <c r="N16" s="2" t="s">
        <v>2012</v>
      </c>
      <c r="O16" s="2" t="s">
        <v>2967</v>
      </c>
      <c r="P16" s="2" t="s">
        <v>1988</v>
      </c>
      <c r="Q16" s="2" t="s">
        <v>1150</v>
      </c>
      <c r="R16" s="11" t="str">
        <f>HYPERLINK("http://slimages.macys.com/is/image/MCY/11447645 ")</f>
        <v xml:space="preserve">http://slimages.macys.com/is/image/MCY/11447645 </v>
      </c>
    </row>
    <row r="17" spans="1:18" ht="24.75" x14ac:dyDescent="0.25">
      <c r="A17" s="8" t="s">
        <v>1159</v>
      </c>
      <c r="B17" s="2" t="s">
        <v>1160</v>
      </c>
      <c r="C17" s="4">
        <v>1</v>
      </c>
      <c r="D17" s="6">
        <v>18.2</v>
      </c>
      <c r="E17" s="6">
        <v>18.2</v>
      </c>
      <c r="F17" s="9">
        <v>39.99</v>
      </c>
      <c r="G17" s="6">
        <v>39.99</v>
      </c>
      <c r="H17" s="4" t="s">
        <v>1161</v>
      </c>
      <c r="I17" s="2"/>
      <c r="J17" s="10" t="s">
        <v>2425</v>
      </c>
      <c r="K17" s="6"/>
      <c r="L17" s="6"/>
      <c r="M17" s="2" t="s">
        <v>1970</v>
      </c>
      <c r="N17" s="2" t="s">
        <v>2626</v>
      </c>
      <c r="O17" s="2" t="s">
        <v>1053</v>
      </c>
      <c r="P17" s="2" t="s">
        <v>1988</v>
      </c>
      <c r="Q17" s="2" t="s">
        <v>2063</v>
      </c>
      <c r="R17" s="11" t="str">
        <f>HYPERLINK("http://slimages.macys.com/is/image/MCY/11014333 ")</f>
        <v xml:space="preserve">http://slimages.macys.com/is/image/MCY/11014333 </v>
      </c>
    </row>
    <row r="18" spans="1:18" ht="24.75" x14ac:dyDescent="0.25">
      <c r="A18" s="8" t="s">
        <v>1162</v>
      </c>
      <c r="B18" s="2" t="s">
        <v>1163</v>
      </c>
      <c r="C18" s="4">
        <v>1</v>
      </c>
      <c r="D18" s="6">
        <v>18</v>
      </c>
      <c r="E18" s="6">
        <v>18</v>
      </c>
      <c r="F18" s="9">
        <v>39.99</v>
      </c>
      <c r="G18" s="6">
        <v>39.99</v>
      </c>
      <c r="H18" s="4" t="s">
        <v>1164</v>
      </c>
      <c r="I18" s="2" t="s">
        <v>2017</v>
      </c>
      <c r="J18" s="10" t="s">
        <v>2072</v>
      </c>
      <c r="K18" s="6"/>
      <c r="L18" s="6"/>
      <c r="M18" s="2" t="s">
        <v>1970</v>
      </c>
      <c r="N18" s="2" t="s">
        <v>2846</v>
      </c>
      <c r="O18" s="2" t="s">
        <v>1165</v>
      </c>
      <c r="P18" s="2" t="s">
        <v>1988</v>
      </c>
      <c r="Q18" s="2"/>
      <c r="R18" s="11" t="str">
        <f>HYPERLINK("http://slimages.macys.com/is/image/MCY/8183472 ")</f>
        <v xml:space="preserve">http://slimages.macys.com/is/image/MCY/8183472 </v>
      </c>
    </row>
    <row r="19" spans="1:18" ht="24.75" x14ac:dyDescent="0.25">
      <c r="A19" s="8" t="s">
        <v>1166</v>
      </c>
      <c r="B19" s="2" t="s">
        <v>1167</v>
      </c>
      <c r="C19" s="4">
        <v>2</v>
      </c>
      <c r="D19" s="6">
        <v>17.600000000000001</v>
      </c>
      <c r="E19" s="6">
        <v>35.200000000000003</v>
      </c>
      <c r="F19" s="9">
        <v>39.99</v>
      </c>
      <c r="G19" s="6">
        <v>79.98</v>
      </c>
      <c r="H19" s="4">
        <v>1000751600</v>
      </c>
      <c r="I19" s="2" t="s">
        <v>2077</v>
      </c>
      <c r="J19" s="10" t="s">
        <v>2425</v>
      </c>
      <c r="K19" s="6"/>
      <c r="L19" s="6"/>
      <c r="M19" s="2" t="s">
        <v>1970</v>
      </c>
      <c r="N19" s="2" t="s">
        <v>2846</v>
      </c>
      <c r="O19" s="2" t="s">
        <v>2847</v>
      </c>
      <c r="P19" s="2" t="s">
        <v>1988</v>
      </c>
      <c r="Q19" s="2" t="s">
        <v>1168</v>
      </c>
      <c r="R19" s="11" t="str">
        <f>HYPERLINK("http://slimages.macys.com/is/image/MCY/9221119 ")</f>
        <v xml:space="preserve">http://slimages.macys.com/is/image/MCY/9221119 </v>
      </c>
    </row>
    <row r="20" spans="1:18" ht="24.75" x14ac:dyDescent="0.25">
      <c r="A20" s="8" t="s">
        <v>1169</v>
      </c>
      <c r="B20" s="2" t="s">
        <v>1170</v>
      </c>
      <c r="C20" s="4">
        <v>3</v>
      </c>
      <c r="D20" s="6">
        <v>14.25</v>
      </c>
      <c r="E20" s="6">
        <v>42.75</v>
      </c>
      <c r="F20" s="9">
        <v>34.99</v>
      </c>
      <c r="G20" s="6">
        <v>104.97</v>
      </c>
      <c r="H20" s="4" t="s">
        <v>1171</v>
      </c>
      <c r="I20" s="2"/>
      <c r="J20" s="10"/>
      <c r="K20" s="6"/>
      <c r="L20" s="6"/>
      <c r="M20" s="2" t="s">
        <v>1970</v>
      </c>
      <c r="N20" s="2" t="s">
        <v>2012</v>
      </c>
      <c r="O20" s="2" t="s">
        <v>2967</v>
      </c>
      <c r="P20" s="2" t="s">
        <v>1988</v>
      </c>
      <c r="Q20" s="2" t="s">
        <v>1150</v>
      </c>
      <c r="R20" s="11" t="str">
        <f>HYPERLINK("http://slimages.macys.com/is/image/MCY/11447654 ")</f>
        <v xml:space="preserve">http://slimages.macys.com/is/image/MCY/11447654 </v>
      </c>
    </row>
    <row r="21" spans="1:18" ht="24.75" x14ac:dyDescent="0.25">
      <c r="A21" s="8" t="s">
        <v>1172</v>
      </c>
      <c r="B21" s="2" t="s">
        <v>1173</v>
      </c>
      <c r="C21" s="4">
        <v>1</v>
      </c>
      <c r="D21" s="6">
        <v>15.75</v>
      </c>
      <c r="E21" s="6">
        <v>15.75</v>
      </c>
      <c r="F21" s="9">
        <v>49.99</v>
      </c>
      <c r="G21" s="6">
        <v>49.99</v>
      </c>
      <c r="H21" s="4" t="s">
        <v>1174</v>
      </c>
      <c r="I21" s="2" t="s">
        <v>2026</v>
      </c>
      <c r="J21" s="10" t="s">
        <v>1175</v>
      </c>
      <c r="K21" s="6"/>
      <c r="L21" s="6"/>
      <c r="M21" s="2" t="s">
        <v>1970</v>
      </c>
      <c r="N21" s="2" t="s">
        <v>2626</v>
      </c>
      <c r="O21" s="2" t="s">
        <v>1053</v>
      </c>
      <c r="P21" s="2" t="s">
        <v>1988</v>
      </c>
      <c r="Q21" s="2"/>
      <c r="R21" s="11" t="str">
        <f>HYPERLINK("http://slimages.macys.com/is/image/MCY/8244647 ")</f>
        <v xml:space="preserve">http://slimages.macys.com/is/image/MCY/8244647 </v>
      </c>
    </row>
    <row r="22" spans="1:18" ht="24.75" x14ac:dyDescent="0.25">
      <c r="A22" s="8" t="s">
        <v>1176</v>
      </c>
      <c r="B22" s="2" t="s">
        <v>1177</v>
      </c>
      <c r="C22" s="4">
        <v>1</v>
      </c>
      <c r="D22" s="6">
        <v>11.6</v>
      </c>
      <c r="E22" s="6">
        <v>11.6</v>
      </c>
      <c r="F22" s="9">
        <v>24.99</v>
      </c>
      <c r="G22" s="6">
        <v>24.99</v>
      </c>
      <c r="H22" s="4" t="s">
        <v>1178</v>
      </c>
      <c r="I22" s="2"/>
      <c r="J22" s="10"/>
      <c r="K22" s="6"/>
      <c r="L22" s="6"/>
      <c r="M22" s="2" t="s">
        <v>1970</v>
      </c>
      <c r="N22" s="2" t="s">
        <v>2012</v>
      </c>
      <c r="O22" s="2" t="s">
        <v>2448</v>
      </c>
      <c r="P22" s="2" t="s">
        <v>1988</v>
      </c>
      <c r="Q22" s="2" t="s">
        <v>1179</v>
      </c>
      <c r="R22" s="11" t="str">
        <f>HYPERLINK("http://slimages.macys.com/is/image/MCY/11190393 ")</f>
        <v xml:space="preserve">http://slimages.macys.com/is/image/MCY/11190393 </v>
      </c>
    </row>
    <row r="23" spans="1:18" ht="24.75" x14ac:dyDescent="0.25">
      <c r="A23" s="8" t="s">
        <v>1180</v>
      </c>
      <c r="B23" s="2" t="s">
        <v>1181</v>
      </c>
      <c r="C23" s="4">
        <v>1</v>
      </c>
      <c r="D23" s="6">
        <v>13.5</v>
      </c>
      <c r="E23" s="6">
        <v>13.5</v>
      </c>
      <c r="F23" s="9">
        <v>29.99</v>
      </c>
      <c r="G23" s="6">
        <v>29.99</v>
      </c>
      <c r="H23" s="4" t="s">
        <v>1182</v>
      </c>
      <c r="I23" s="2" t="s">
        <v>2683</v>
      </c>
      <c r="J23" s="10" t="s">
        <v>2425</v>
      </c>
      <c r="K23" s="6"/>
      <c r="L23" s="6"/>
      <c r="M23" s="2" t="s">
        <v>1970</v>
      </c>
      <c r="N23" s="2" t="s">
        <v>2846</v>
      </c>
      <c r="O23" s="2" t="s">
        <v>2847</v>
      </c>
      <c r="P23" s="2" t="s">
        <v>1988</v>
      </c>
      <c r="Q23" s="2" t="s">
        <v>1065</v>
      </c>
      <c r="R23" s="11" t="str">
        <f>HYPERLINK("http://slimages.macys.com/is/image/MCY/3479990 ")</f>
        <v xml:space="preserve">http://slimages.macys.com/is/image/MCY/3479990 </v>
      </c>
    </row>
    <row r="24" spans="1:18" ht="24.75" x14ac:dyDescent="0.25">
      <c r="A24" s="8" t="s">
        <v>1183</v>
      </c>
      <c r="B24" s="2" t="s">
        <v>1184</v>
      </c>
      <c r="C24" s="4">
        <v>2</v>
      </c>
      <c r="D24" s="6">
        <v>11.39</v>
      </c>
      <c r="E24" s="6">
        <v>22.78</v>
      </c>
      <c r="F24" s="9">
        <v>24.99</v>
      </c>
      <c r="G24" s="6">
        <v>49.98</v>
      </c>
      <c r="H24" s="4">
        <v>78617</v>
      </c>
      <c r="I24" s="2" t="s">
        <v>1993</v>
      </c>
      <c r="J24" s="10" t="s">
        <v>2314</v>
      </c>
      <c r="K24" s="6"/>
      <c r="L24" s="6"/>
      <c r="M24" s="2" t="s">
        <v>1970</v>
      </c>
      <c r="N24" s="2" t="s">
        <v>2012</v>
      </c>
      <c r="O24" s="2" t="s">
        <v>1999</v>
      </c>
      <c r="P24" s="2" t="s">
        <v>1988</v>
      </c>
      <c r="Q24" s="2" t="s">
        <v>1185</v>
      </c>
      <c r="R24" s="11" t="str">
        <f>HYPERLINK("http://slimages.macys.com/is/image/MCY/9359339 ")</f>
        <v xml:space="preserve">http://slimages.macys.com/is/image/MCY/9359339 </v>
      </c>
    </row>
    <row r="25" spans="1:18" ht="24.75" x14ac:dyDescent="0.25">
      <c r="A25" s="8" t="s">
        <v>1186</v>
      </c>
      <c r="B25" s="2" t="s">
        <v>1187</v>
      </c>
      <c r="C25" s="4">
        <v>2</v>
      </c>
      <c r="D25" s="6">
        <v>11.39</v>
      </c>
      <c r="E25" s="6">
        <v>22.78</v>
      </c>
      <c r="F25" s="9">
        <v>24.99</v>
      </c>
      <c r="G25" s="6">
        <v>49.98</v>
      </c>
      <c r="H25" s="4">
        <v>78618</v>
      </c>
      <c r="I25" s="2" t="s">
        <v>2021</v>
      </c>
      <c r="J25" s="10" t="s">
        <v>2314</v>
      </c>
      <c r="K25" s="6"/>
      <c r="L25" s="6"/>
      <c r="M25" s="2" t="s">
        <v>1970</v>
      </c>
      <c r="N25" s="2" t="s">
        <v>2012</v>
      </c>
      <c r="O25" s="2" t="s">
        <v>1999</v>
      </c>
      <c r="P25" s="2" t="s">
        <v>1988</v>
      </c>
      <c r="Q25" s="2" t="s">
        <v>1185</v>
      </c>
      <c r="R25" s="11" t="str">
        <f>HYPERLINK("http://slimages.macys.com/is/image/MCY/9359339 ")</f>
        <v xml:space="preserve">http://slimages.macys.com/is/image/MCY/9359339 </v>
      </c>
    </row>
    <row r="26" spans="1:18" ht="24.75" x14ac:dyDescent="0.25">
      <c r="A26" s="8" t="s">
        <v>1188</v>
      </c>
      <c r="B26" s="2" t="s">
        <v>1189</v>
      </c>
      <c r="C26" s="4">
        <v>1</v>
      </c>
      <c r="D26" s="6">
        <v>9</v>
      </c>
      <c r="E26" s="6">
        <v>9</v>
      </c>
      <c r="F26" s="9">
        <v>19.989999999999998</v>
      </c>
      <c r="G26" s="6">
        <v>19.989999999999998</v>
      </c>
      <c r="H26" s="4" t="s">
        <v>1190</v>
      </c>
      <c r="I26" s="2"/>
      <c r="J26" s="10"/>
      <c r="K26" s="6"/>
      <c r="L26" s="6"/>
      <c r="M26" s="2" t="s">
        <v>1970</v>
      </c>
      <c r="N26" s="2" t="s">
        <v>2012</v>
      </c>
      <c r="O26" s="2" t="s">
        <v>1072</v>
      </c>
      <c r="P26" s="2" t="s">
        <v>1988</v>
      </c>
      <c r="Q26" s="2"/>
      <c r="R26" s="11" t="str">
        <f>HYPERLINK("http://slimages.macys.com/is/image/MCY/10014809 ")</f>
        <v xml:space="preserve">http://slimages.macys.com/is/image/MCY/10014809 </v>
      </c>
    </row>
    <row r="27" spans="1:18" ht="24.75" x14ac:dyDescent="0.25">
      <c r="A27" s="8" t="s">
        <v>1191</v>
      </c>
      <c r="B27" s="2" t="s">
        <v>1192</v>
      </c>
      <c r="C27" s="4">
        <v>1</v>
      </c>
      <c r="D27" s="6">
        <v>4.42</v>
      </c>
      <c r="E27" s="6">
        <v>4.42</v>
      </c>
      <c r="F27" s="9">
        <v>8.99</v>
      </c>
      <c r="G27" s="6">
        <v>8.99</v>
      </c>
      <c r="H27" s="4">
        <v>78289</v>
      </c>
      <c r="I27" s="2" t="s">
        <v>2077</v>
      </c>
      <c r="J27" s="10"/>
      <c r="K27" s="6"/>
      <c r="L27" s="6"/>
      <c r="M27" s="2" t="s">
        <v>1970</v>
      </c>
      <c r="N27" s="2" t="s">
        <v>2012</v>
      </c>
      <c r="O27" s="2" t="s">
        <v>1999</v>
      </c>
      <c r="P27" s="2"/>
      <c r="Q27" s="2"/>
      <c r="R27" s="11" t="str">
        <f>HYPERLINK("http://slimages.macys.com/is/image/MCY/8940400 ")</f>
        <v xml:space="preserve">http://slimages.macys.com/is/image/MCY/8940400 </v>
      </c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6"/>
  <sheetViews>
    <sheetView topLeftCell="A34" workbookViewId="0">
      <selection activeCell="I53" sqref="I53:I54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5.425781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60.75" x14ac:dyDescent="0.25">
      <c r="A2" s="8" t="s">
        <v>963</v>
      </c>
      <c r="B2" s="2" t="s">
        <v>964</v>
      </c>
      <c r="C2" s="4">
        <v>1</v>
      </c>
      <c r="D2" s="6">
        <v>125.05</v>
      </c>
      <c r="E2" s="6">
        <v>125.05</v>
      </c>
      <c r="F2" s="9">
        <v>312.99</v>
      </c>
      <c r="G2" s="6">
        <v>312.99</v>
      </c>
      <c r="H2" s="4" t="s">
        <v>965</v>
      </c>
      <c r="I2" s="2" t="s">
        <v>2026</v>
      </c>
      <c r="J2" s="10"/>
      <c r="K2" s="6"/>
      <c r="L2" s="6"/>
      <c r="M2" s="2" t="s">
        <v>1970</v>
      </c>
      <c r="N2" s="2" t="s">
        <v>2005</v>
      </c>
      <c r="O2" s="2" t="s">
        <v>2038</v>
      </c>
      <c r="P2" s="2" t="s">
        <v>1988</v>
      </c>
      <c r="Q2" s="2" t="s">
        <v>966</v>
      </c>
      <c r="R2" s="11" t="str">
        <f>HYPERLINK("http://slimages.macys.com/is/image/MCY/11798874 ")</f>
        <v xml:space="preserve">http://slimages.macys.com/is/image/MCY/11798874 </v>
      </c>
    </row>
    <row r="3" spans="1:18" ht="24.75" x14ac:dyDescent="0.25">
      <c r="A3" s="8" t="s">
        <v>967</v>
      </c>
      <c r="B3" s="2" t="s">
        <v>968</v>
      </c>
      <c r="C3" s="4">
        <v>1</v>
      </c>
      <c r="D3" s="6">
        <v>67.81</v>
      </c>
      <c r="E3" s="6">
        <v>67.81</v>
      </c>
      <c r="F3" s="9">
        <v>179.99</v>
      </c>
      <c r="G3" s="6">
        <v>179.99</v>
      </c>
      <c r="H3" s="4" t="s">
        <v>969</v>
      </c>
      <c r="I3" s="2" t="s">
        <v>970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2688</v>
      </c>
      <c r="R3" s="11" t="str">
        <f>HYPERLINK("http://slimages.macys.com/is/image/MCY/9627789 ")</f>
        <v xml:space="preserve">http://slimages.macys.com/is/image/MCY/9627789 </v>
      </c>
    </row>
    <row r="4" spans="1:18" ht="24.75" x14ac:dyDescent="0.25">
      <c r="A4" s="8" t="s">
        <v>971</v>
      </c>
      <c r="B4" s="2" t="s">
        <v>972</v>
      </c>
      <c r="C4" s="4">
        <v>1</v>
      </c>
      <c r="D4" s="6">
        <v>59.66</v>
      </c>
      <c r="E4" s="6">
        <v>59.66</v>
      </c>
      <c r="F4" s="9">
        <v>159.99</v>
      </c>
      <c r="G4" s="6">
        <v>159.99</v>
      </c>
      <c r="H4" s="4" t="s">
        <v>973</v>
      </c>
      <c r="I4" s="2" t="s">
        <v>2017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/>
      <c r="R4" s="11" t="str">
        <f>HYPERLINK("http://slimages.macys.com/is/image/MCY/9025549 ")</f>
        <v xml:space="preserve">http://slimages.macys.com/is/image/MCY/9025549 </v>
      </c>
    </row>
    <row r="5" spans="1:18" ht="24.75" x14ac:dyDescent="0.25">
      <c r="A5" s="8" t="s">
        <v>974</v>
      </c>
      <c r="B5" s="2" t="s">
        <v>975</v>
      </c>
      <c r="C5" s="4">
        <v>1</v>
      </c>
      <c r="D5" s="6">
        <v>55</v>
      </c>
      <c r="E5" s="6">
        <v>55</v>
      </c>
      <c r="F5" s="9">
        <v>109.99</v>
      </c>
      <c r="G5" s="6">
        <v>109.99</v>
      </c>
      <c r="H5" s="4" t="s">
        <v>976</v>
      </c>
      <c r="I5" s="2" t="s">
        <v>2430</v>
      </c>
      <c r="J5" s="10"/>
      <c r="K5" s="6"/>
      <c r="L5" s="6"/>
      <c r="M5" s="2" t="s">
        <v>1970</v>
      </c>
      <c r="N5" s="2" t="s">
        <v>2386</v>
      </c>
      <c r="O5" s="2" t="s">
        <v>2932</v>
      </c>
      <c r="P5" s="2" t="s">
        <v>1988</v>
      </c>
      <c r="Q5" s="2"/>
      <c r="R5" s="11" t="str">
        <f>HYPERLINK("http://slimages.macys.com/is/image/MCY/10074930 ")</f>
        <v xml:space="preserve">http://slimages.macys.com/is/image/MCY/10074930 </v>
      </c>
    </row>
    <row r="6" spans="1:18" ht="180.75" x14ac:dyDescent="0.25">
      <c r="A6" s="8" t="s">
        <v>977</v>
      </c>
      <c r="B6" s="2" t="s">
        <v>978</v>
      </c>
      <c r="C6" s="4">
        <v>1</v>
      </c>
      <c r="D6" s="6">
        <v>53.56</v>
      </c>
      <c r="E6" s="6">
        <v>53.56</v>
      </c>
      <c r="F6" s="9">
        <v>145.99</v>
      </c>
      <c r="G6" s="6">
        <v>145.99</v>
      </c>
      <c r="H6" s="4" t="s">
        <v>979</v>
      </c>
      <c r="I6" s="2" t="s">
        <v>1993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980</v>
      </c>
      <c r="R6" s="11" t="str">
        <f>HYPERLINK("http://slimages.macys.com/is/image/MCY/14429979 ")</f>
        <v xml:space="preserve">http://slimages.macys.com/is/image/MCY/14429979 </v>
      </c>
    </row>
    <row r="7" spans="1:18" ht="84.75" x14ac:dyDescent="0.25">
      <c r="A7" s="8" t="s">
        <v>981</v>
      </c>
      <c r="B7" s="2" t="s">
        <v>982</v>
      </c>
      <c r="C7" s="4">
        <v>1</v>
      </c>
      <c r="D7" s="6">
        <v>51.7</v>
      </c>
      <c r="E7" s="6">
        <v>51.7</v>
      </c>
      <c r="F7" s="9">
        <v>113.99</v>
      </c>
      <c r="G7" s="6">
        <v>113.99</v>
      </c>
      <c r="H7" s="4" t="s">
        <v>983</v>
      </c>
      <c r="I7" s="2" t="s">
        <v>2048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984</v>
      </c>
      <c r="R7" s="11" t="str">
        <f>HYPERLINK("http://slimages.macys.com/is/image/MCY/9798733 ")</f>
        <v xml:space="preserve">http://slimages.macys.com/is/image/MCY/9798733 </v>
      </c>
    </row>
    <row r="8" spans="1:18" ht="60.75" x14ac:dyDescent="0.25">
      <c r="A8" s="8" t="s">
        <v>985</v>
      </c>
      <c r="B8" s="2" t="s">
        <v>986</v>
      </c>
      <c r="C8" s="4">
        <v>1</v>
      </c>
      <c r="D8" s="6">
        <v>39.69</v>
      </c>
      <c r="E8" s="6">
        <v>39.69</v>
      </c>
      <c r="F8" s="9">
        <v>88.99</v>
      </c>
      <c r="G8" s="6">
        <v>88.99</v>
      </c>
      <c r="H8" s="4" t="s">
        <v>987</v>
      </c>
      <c r="I8" s="2" t="s">
        <v>1993</v>
      </c>
      <c r="J8" s="10"/>
      <c r="K8" s="6"/>
      <c r="L8" s="6"/>
      <c r="M8" s="2" t="s">
        <v>1970</v>
      </c>
      <c r="N8" s="2" t="s">
        <v>2012</v>
      </c>
      <c r="O8" s="2" t="s">
        <v>1987</v>
      </c>
      <c r="P8" s="2" t="s">
        <v>1988</v>
      </c>
      <c r="Q8" s="2" t="s">
        <v>902</v>
      </c>
      <c r="R8" s="11" t="str">
        <f>HYPERLINK("http://slimages.macys.com/is/image/MCY/12071212 ")</f>
        <v xml:space="preserve">http://slimages.macys.com/is/image/MCY/12071212 </v>
      </c>
    </row>
    <row r="9" spans="1:18" ht="96.75" x14ac:dyDescent="0.25">
      <c r="A9" s="8" t="s">
        <v>988</v>
      </c>
      <c r="B9" s="2" t="s">
        <v>989</v>
      </c>
      <c r="C9" s="4">
        <v>1</v>
      </c>
      <c r="D9" s="6">
        <v>45.53</v>
      </c>
      <c r="E9" s="6">
        <v>45.53</v>
      </c>
      <c r="F9" s="9">
        <v>109.99</v>
      </c>
      <c r="G9" s="6">
        <v>109.99</v>
      </c>
      <c r="H9" s="4" t="s">
        <v>990</v>
      </c>
      <c r="I9" s="2" t="s">
        <v>2026</v>
      </c>
      <c r="J9" s="10" t="s">
        <v>2374</v>
      </c>
      <c r="K9" s="6"/>
      <c r="L9" s="6"/>
      <c r="M9" s="2" t="s">
        <v>1970</v>
      </c>
      <c r="N9" s="2" t="s">
        <v>991</v>
      </c>
      <c r="O9" s="2" t="s">
        <v>992</v>
      </c>
      <c r="P9" s="2" t="s">
        <v>2933</v>
      </c>
      <c r="Q9" s="2" t="s">
        <v>993</v>
      </c>
      <c r="R9" s="11" t="str">
        <f>HYPERLINK("http://slimages.macys.com/is/image/MCY/11184968 ")</f>
        <v xml:space="preserve">http://slimages.macys.com/is/image/MCY/11184968 </v>
      </c>
    </row>
    <row r="10" spans="1:18" ht="48.75" x14ac:dyDescent="0.25">
      <c r="A10" s="8" t="s">
        <v>994</v>
      </c>
      <c r="B10" s="2" t="s">
        <v>995</v>
      </c>
      <c r="C10" s="4">
        <v>1</v>
      </c>
      <c r="D10" s="6">
        <v>36.9</v>
      </c>
      <c r="E10" s="6">
        <v>36.9</v>
      </c>
      <c r="F10" s="9">
        <v>99.99</v>
      </c>
      <c r="G10" s="6">
        <v>99.99</v>
      </c>
      <c r="H10" s="4">
        <v>80517</v>
      </c>
      <c r="I10" s="2" t="s">
        <v>2026</v>
      </c>
      <c r="J10" s="10"/>
      <c r="K10" s="6"/>
      <c r="L10" s="6"/>
      <c r="M10" s="2" t="s">
        <v>1970</v>
      </c>
      <c r="N10" s="2" t="s">
        <v>2005</v>
      </c>
      <c r="O10" s="2" t="s">
        <v>2098</v>
      </c>
      <c r="P10" s="2" t="s">
        <v>2499</v>
      </c>
      <c r="Q10" s="2" t="s">
        <v>996</v>
      </c>
      <c r="R10" s="11" t="str">
        <f>HYPERLINK("http://slimages.macys.com/is/image/MCY/11531744 ")</f>
        <v xml:space="preserve">http://slimages.macys.com/is/image/MCY/11531744 </v>
      </c>
    </row>
    <row r="11" spans="1:18" ht="24.75" x14ac:dyDescent="0.25">
      <c r="A11" s="8" t="s">
        <v>997</v>
      </c>
      <c r="B11" s="2" t="s">
        <v>998</v>
      </c>
      <c r="C11" s="4">
        <v>1</v>
      </c>
      <c r="D11" s="6">
        <v>41.3</v>
      </c>
      <c r="E11" s="6">
        <v>41.3</v>
      </c>
      <c r="F11" s="9">
        <v>114.99</v>
      </c>
      <c r="G11" s="6">
        <v>114.99</v>
      </c>
      <c r="H11" s="4" t="s">
        <v>999</v>
      </c>
      <c r="I11" s="2" t="s">
        <v>2026</v>
      </c>
      <c r="J11" s="10" t="s">
        <v>2737</v>
      </c>
      <c r="K11" s="6"/>
      <c r="L11" s="6"/>
      <c r="M11" s="2" t="s">
        <v>1970</v>
      </c>
      <c r="N11" s="2" t="s">
        <v>2027</v>
      </c>
      <c r="O11" s="2" t="s">
        <v>1000</v>
      </c>
      <c r="P11" s="2" t="s">
        <v>1988</v>
      </c>
      <c r="Q11" s="2" t="s">
        <v>2095</v>
      </c>
      <c r="R11" s="11" t="str">
        <f>HYPERLINK("http://slimages.macys.com/is/image/MCY/16560057 ")</f>
        <v xml:space="preserve">http://slimages.macys.com/is/image/MCY/16560057 </v>
      </c>
    </row>
    <row r="12" spans="1:18" ht="48.75" x14ac:dyDescent="0.25">
      <c r="A12" s="8" t="s">
        <v>1001</v>
      </c>
      <c r="B12" s="2" t="s">
        <v>1002</v>
      </c>
      <c r="C12" s="4">
        <v>1</v>
      </c>
      <c r="D12" s="6">
        <v>40.549999999999997</v>
      </c>
      <c r="E12" s="6">
        <v>40.549999999999997</v>
      </c>
      <c r="F12" s="9">
        <v>99.99</v>
      </c>
      <c r="G12" s="6">
        <v>99.99</v>
      </c>
      <c r="H12" s="4">
        <v>80024</v>
      </c>
      <c r="I12" s="2" t="s">
        <v>2603</v>
      </c>
      <c r="J12" s="10"/>
      <c r="K12" s="6"/>
      <c r="L12" s="6"/>
      <c r="M12" s="2" t="s">
        <v>1970</v>
      </c>
      <c r="N12" s="2" t="s">
        <v>1986</v>
      </c>
      <c r="O12" s="2" t="s">
        <v>1999</v>
      </c>
      <c r="P12" s="2" t="s">
        <v>1988</v>
      </c>
      <c r="Q12" s="2" t="s">
        <v>1003</v>
      </c>
      <c r="R12" s="11" t="str">
        <f>HYPERLINK("http://slimages.macys.com/is/image/MCY/9957655 ")</f>
        <v xml:space="preserve">http://slimages.macys.com/is/image/MCY/9957655 </v>
      </c>
    </row>
    <row r="13" spans="1:18" ht="24.75" x14ac:dyDescent="0.25">
      <c r="A13" s="8" t="s">
        <v>1004</v>
      </c>
      <c r="B13" s="2" t="s">
        <v>1005</v>
      </c>
      <c r="C13" s="4">
        <v>1</v>
      </c>
      <c r="D13" s="6">
        <v>39.85</v>
      </c>
      <c r="E13" s="6">
        <v>39.85</v>
      </c>
      <c r="F13" s="9">
        <v>129.99</v>
      </c>
      <c r="G13" s="6">
        <v>129.99</v>
      </c>
      <c r="H13" s="4" t="s">
        <v>1006</v>
      </c>
      <c r="I13" s="2" t="s">
        <v>2683</v>
      </c>
      <c r="J13" s="10"/>
      <c r="K13" s="6"/>
      <c r="L13" s="6"/>
      <c r="M13" s="2" t="s">
        <v>1970</v>
      </c>
      <c r="N13" s="2" t="s">
        <v>2386</v>
      </c>
      <c r="O13" s="2" t="s">
        <v>2932</v>
      </c>
      <c r="P13" s="2" t="s">
        <v>1988</v>
      </c>
      <c r="Q13" s="2"/>
      <c r="R13" s="11" t="str">
        <f>HYPERLINK("http://slimages.macys.com/is/image/MCY/9997430 ")</f>
        <v xml:space="preserve">http://slimages.macys.com/is/image/MCY/9997430 </v>
      </c>
    </row>
    <row r="14" spans="1:18" ht="36.75" x14ac:dyDescent="0.25">
      <c r="A14" s="8" t="s">
        <v>1007</v>
      </c>
      <c r="B14" s="2" t="s">
        <v>1008</v>
      </c>
      <c r="C14" s="4">
        <v>1</v>
      </c>
      <c r="D14" s="6">
        <v>36.159999999999997</v>
      </c>
      <c r="E14" s="6">
        <v>36.159999999999997</v>
      </c>
      <c r="F14" s="9">
        <v>84.99</v>
      </c>
      <c r="G14" s="6">
        <v>84.99</v>
      </c>
      <c r="H14" s="4" t="s">
        <v>1009</v>
      </c>
      <c r="I14" s="2" t="s">
        <v>2071</v>
      </c>
      <c r="J14" s="10"/>
      <c r="K14" s="6"/>
      <c r="L14" s="6"/>
      <c r="M14" s="2" t="s">
        <v>1970</v>
      </c>
      <c r="N14" s="2" t="s">
        <v>2684</v>
      </c>
      <c r="O14" s="2" t="s">
        <v>1010</v>
      </c>
      <c r="P14" s="2" t="s">
        <v>1988</v>
      </c>
      <c r="Q14" s="2" t="s">
        <v>1011</v>
      </c>
      <c r="R14" s="11" t="str">
        <f>HYPERLINK("http://slimages.macys.com/is/image/MCY/3313840 ")</f>
        <v xml:space="preserve">http://slimages.macys.com/is/image/MCY/3313840 </v>
      </c>
    </row>
    <row r="15" spans="1:18" ht="24.75" x14ac:dyDescent="0.25">
      <c r="A15" s="8" t="s">
        <v>1012</v>
      </c>
      <c r="B15" s="2" t="s">
        <v>1013</v>
      </c>
      <c r="C15" s="4">
        <v>1</v>
      </c>
      <c r="D15" s="6">
        <v>35.200000000000003</v>
      </c>
      <c r="E15" s="6">
        <v>35.200000000000003</v>
      </c>
      <c r="F15" s="9">
        <v>79.989999999999995</v>
      </c>
      <c r="G15" s="6">
        <v>79.989999999999995</v>
      </c>
      <c r="H15" s="4" t="s">
        <v>1014</v>
      </c>
      <c r="I15" s="2" t="s">
        <v>2011</v>
      </c>
      <c r="J15" s="10"/>
      <c r="K15" s="6"/>
      <c r="L15" s="6"/>
      <c r="M15" s="2" t="s">
        <v>1970</v>
      </c>
      <c r="N15" s="2" t="s">
        <v>2684</v>
      </c>
      <c r="O15" s="2" t="s">
        <v>1010</v>
      </c>
      <c r="P15" s="2" t="s">
        <v>1988</v>
      </c>
      <c r="Q15" s="2" t="s">
        <v>2095</v>
      </c>
      <c r="R15" s="11" t="str">
        <f>HYPERLINK("http://slimages.macys.com/is/image/MCY/3519342 ")</f>
        <v xml:space="preserve">http://slimages.macys.com/is/image/MCY/3519342 </v>
      </c>
    </row>
    <row r="16" spans="1:18" ht="24.75" x14ac:dyDescent="0.25">
      <c r="A16" s="8" t="s">
        <v>1015</v>
      </c>
      <c r="B16" s="2" t="s">
        <v>1016</v>
      </c>
      <c r="C16" s="4">
        <v>1</v>
      </c>
      <c r="D16" s="6">
        <v>33.659999999999997</v>
      </c>
      <c r="E16" s="6">
        <v>33.659999999999997</v>
      </c>
      <c r="F16" s="9">
        <v>89</v>
      </c>
      <c r="G16" s="6">
        <v>89</v>
      </c>
      <c r="H16" s="4">
        <v>10002532200</v>
      </c>
      <c r="I16" s="2" t="s">
        <v>2430</v>
      </c>
      <c r="J16" s="10"/>
      <c r="K16" s="6"/>
      <c r="L16" s="6"/>
      <c r="M16" s="2" t="s">
        <v>1970</v>
      </c>
      <c r="N16" s="2" t="s">
        <v>2684</v>
      </c>
      <c r="O16" s="2" t="s">
        <v>1017</v>
      </c>
      <c r="P16" s="2" t="s">
        <v>1988</v>
      </c>
      <c r="Q16" s="2"/>
      <c r="R16" s="11" t="str">
        <f>HYPERLINK("http://slimages.macys.com/is/image/MCY/9746283 ")</f>
        <v xml:space="preserve">http://slimages.macys.com/is/image/MCY/9746283 </v>
      </c>
    </row>
    <row r="17" spans="1:18" ht="144.75" x14ac:dyDescent="0.25">
      <c r="A17" s="8" t="s">
        <v>1018</v>
      </c>
      <c r="B17" s="2" t="s">
        <v>1019</v>
      </c>
      <c r="C17" s="4">
        <v>1</v>
      </c>
      <c r="D17" s="6">
        <v>31.82</v>
      </c>
      <c r="E17" s="6">
        <v>31.82</v>
      </c>
      <c r="F17" s="9">
        <v>79.989999999999995</v>
      </c>
      <c r="G17" s="6">
        <v>79.989999999999995</v>
      </c>
      <c r="H17" s="4" t="s">
        <v>1020</v>
      </c>
      <c r="I17" s="2" t="s">
        <v>2004</v>
      </c>
      <c r="J17" s="10"/>
      <c r="K17" s="6"/>
      <c r="L17" s="6"/>
      <c r="M17" s="2" t="s">
        <v>1970</v>
      </c>
      <c r="N17" s="2" t="s">
        <v>1986</v>
      </c>
      <c r="O17" s="2" t="s">
        <v>1987</v>
      </c>
      <c r="P17" s="2" t="s">
        <v>1988</v>
      </c>
      <c r="Q17" s="2" t="s">
        <v>1021</v>
      </c>
      <c r="R17" s="11" t="str">
        <f>HYPERLINK("http://slimages.macys.com/is/image/MCY/8925676 ")</f>
        <v xml:space="preserve">http://slimages.macys.com/is/image/MCY/8925676 </v>
      </c>
    </row>
    <row r="18" spans="1:18" ht="24.75" x14ac:dyDescent="0.25">
      <c r="A18" s="8" t="s">
        <v>1022</v>
      </c>
      <c r="B18" s="2" t="s">
        <v>1023</v>
      </c>
      <c r="C18" s="4">
        <v>1</v>
      </c>
      <c r="D18" s="6">
        <v>30.37</v>
      </c>
      <c r="E18" s="6">
        <v>30.37</v>
      </c>
      <c r="F18" s="9">
        <v>74.989999999999995</v>
      </c>
      <c r="G18" s="6">
        <v>74.989999999999995</v>
      </c>
      <c r="H18" s="4" t="s">
        <v>1024</v>
      </c>
      <c r="I18" s="2" t="s">
        <v>2017</v>
      </c>
      <c r="J18" s="10"/>
      <c r="K18" s="6"/>
      <c r="L18" s="6"/>
      <c r="M18" s="2" t="s">
        <v>1970</v>
      </c>
      <c r="N18" s="2" t="s">
        <v>1986</v>
      </c>
      <c r="O18" s="2" t="s">
        <v>1987</v>
      </c>
      <c r="P18" s="2" t="s">
        <v>1988</v>
      </c>
      <c r="Q18" s="2" t="s">
        <v>2053</v>
      </c>
      <c r="R18" s="11" t="str">
        <f>HYPERLINK("http://slimages.macys.com/is/image/MCY/9803580 ")</f>
        <v xml:space="preserve">http://slimages.macys.com/is/image/MCY/9803580 </v>
      </c>
    </row>
    <row r="19" spans="1:18" ht="24.75" x14ac:dyDescent="0.25">
      <c r="A19" s="8" t="s">
        <v>1025</v>
      </c>
      <c r="B19" s="2" t="s">
        <v>1026</v>
      </c>
      <c r="C19" s="4">
        <v>1</v>
      </c>
      <c r="D19" s="6">
        <v>28.3</v>
      </c>
      <c r="E19" s="6">
        <v>28.3</v>
      </c>
      <c r="F19" s="9">
        <v>49.99</v>
      </c>
      <c r="G19" s="6">
        <v>49.99</v>
      </c>
      <c r="H19" s="4">
        <v>18651238</v>
      </c>
      <c r="I19" s="2" t="s">
        <v>2492</v>
      </c>
      <c r="J19" s="10"/>
      <c r="K19" s="6"/>
      <c r="L19" s="6"/>
      <c r="M19" s="2" t="s">
        <v>1970</v>
      </c>
      <c r="N19" s="2" t="s">
        <v>805</v>
      </c>
      <c r="O19" s="2" t="s">
        <v>2967</v>
      </c>
      <c r="P19" s="2" t="s">
        <v>1988</v>
      </c>
      <c r="Q19" s="2"/>
      <c r="R19" s="11" t="str">
        <f>HYPERLINK("http://slimages.macys.com/is/image/MCY/8756809 ")</f>
        <v xml:space="preserve">http://slimages.macys.com/is/image/MCY/8756809 </v>
      </c>
    </row>
    <row r="20" spans="1:18" ht="24.75" x14ac:dyDescent="0.25">
      <c r="A20" s="8" t="s">
        <v>1027</v>
      </c>
      <c r="B20" s="2" t="s">
        <v>1028</v>
      </c>
      <c r="C20" s="4">
        <v>1</v>
      </c>
      <c r="D20" s="6">
        <v>23.32</v>
      </c>
      <c r="E20" s="6">
        <v>23.32</v>
      </c>
      <c r="F20" s="9">
        <v>57.99</v>
      </c>
      <c r="G20" s="6">
        <v>57.99</v>
      </c>
      <c r="H20" s="4" t="s">
        <v>1029</v>
      </c>
      <c r="I20" s="2" t="s">
        <v>2017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2310</v>
      </c>
      <c r="R20" s="11" t="str">
        <f>HYPERLINK("http://slimages.macys.com/is/image/MCY/9534095 ")</f>
        <v xml:space="preserve">http://slimages.macys.com/is/image/MCY/9534095 </v>
      </c>
    </row>
    <row r="21" spans="1:18" ht="60.75" x14ac:dyDescent="0.25">
      <c r="A21" s="8" t="s">
        <v>1030</v>
      </c>
      <c r="B21" s="2" t="s">
        <v>1031</v>
      </c>
      <c r="C21" s="4">
        <v>1</v>
      </c>
      <c r="D21" s="6">
        <v>26.83</v>
      </c>
      <c r="E21" s="6">
        <v>26.83</v>
      </c>
      <c r="F21" s="9">
        <v>73.989999999999995</v>
      </c>
      <c r="G21" s="6">
        <v>73.989999999999995</v>
      </c>
      <c r="H21" s="4" t="s">
        <v>1032</v>
      </c>
      <c r="I21" s="2" t="s">
        <v>2048</v>
      </c>
      <c r="J21" s="10"/>
      <c r="K21" s="6"/>
      <c r="L21" s="6"/>
      <c r="M21" s="2" t="s">
        <v>1970</v>
      </c>
      <c r="N21" s="2" t="s">
        <v>1986</v>
      </c>
      <c r="O21" s="2" t="s">
        <v>1994</v>
      </c>
      <c r="P21" s="2" t="s">
        <v>1988</v>
      </c>
      <c r="Q21" s="2" t="s">
        <v>1033</v>
      </c>
      <c r="R21" s="11" t="str">
        <f>HYPERLINK("http://slimages.macys.com/is/image/MCY/10005667 ")</f>
        <v xml:space="preserve">http://slimages.macys.com/is/image/MCY/10005667 </v>
      </c>
    </row>
    <row r="22" spans="1:18" ht="108.75" x14ac:dyDescent="0.25">
      <c r="A22" s="8" t="s">
        <v>2409</v>
      </c>
      <c r="B22" s="2" t="s">
        <v>2410</v>
      </c>
      <c r="C22" s="4">
        <v>1</v>
      </c>
      <c r="D22" s="6">
        <v>26.04</v>
      </c>
      <c r="E22" s="6">
        <v>26.04</v>
      </c>
      <c r="F22" s="9">
        <v>69.989999999999995</v>
      </c>
      <c r="G22" s="6">
        <v>69.989999999999995</v>
      </c>
      <c r="H22" s="4" t="s">
        <v>2411</v>
      </c>
      <c r="I22" s="2" t="s">
        <v>2048</v>
      </c>
      <c r="J22" s="10"/>
      <c r="K22" s="6"/>
      <c r="L22" s="6"/>
      <c r="M22" s="2" t="s">
        <v>1970</v>
      </c>
      <c r="N22" s="2" t="s">
        <v>1986</v>
      </c>
      <c r="O22" s="2" t="s">
        <v>1987</v>
      </c>
      <c r="P22" s="2" t="s">
        <v>1988</v>
      </c>
      <c r="Q22" s="2" t="s">
        <v>2412</v>
      </c>
      <c r="R22" s="11" t="str">
        <f>HYPERLINK("http://slimages.macys.com/is/image/MCY/9566779 ")</f>
        <v xml:space="preserve">http://slimages.macys.com/is/image/MCY/9566779 </v>
      </c>
    </row>
    <row r="23" spans="1:18" ht="96.75" x14ac:dyDescent="0.25">
      <c r="A23" s="8" t="s">
        <v>1034</v>
      </c>
      <c r="B23" s="2" t="s">
        <v>1035</v>
      </c>
      <c r="C23" s="4">
        <v>1</v>
      </c>
      <c r="D23" s="6">
        <v>24.86</v>
      </c>
      <c r="E23" s="6">
        <v>24.86</v>
      </c>
      <c r="F23" s="9">
        <v>64.989999999999995</v>
      </c>
      <c r="G23" s="6">
        <v>64.989999999999995</v>
      </c>
      <c r="H23" s="4" t="s">
        <v>1036</v>
      </c>
      <c r="I23" s="2" t="s">
        <v>2017</v>
      </c>
      <c r="J23" s="10"/>
      <c r="K23" s="6"/>
      <c r="L23" s="6"/>
      <c r="M23" s="2" t="s">
        <v>1970</v>
      </c>
      <c r="N23" s="2" t="s">
        <v>1986</v>
      </c>
      <c r="O23" s="2" t="s">
        <v>1987</v>
      </c>
      <c r="P23" s="2" t="s">
        <v>1988</v>
      </c>
      <c r="Q23" s="2" t="s">
        <v>1037</v>
      </c>
      <c r="R23" s="11" t="str">
        <f>HYPERLINK("http://slimages.macys.com/is/image/MCY/9492578 ")</f>
        <v xml:space="preserve">http://slimages.macys.com/is/image/MCY/9492578 </v>
      </c>
    </row>
    <row r="24" spans="1:18" ht="24.75" x14ac:dyDescent="0.25">
      <c r="A24" s="8" t="s">
        <v>1038</v>
      </c>
      <c r="B24" s="2" t="s">
        <v>1039</v>
      </c>
      <c r="C24" s="4">
        <v>2</v>
      </c>
      <c r="D24" s="6">
        <v>18.899999999999999</v>
      </c>
      <c r="E24" s="6">
        <v>37.799999999999997</v>
      </c>
      <c r="F24" s="9">
        <v>49.99</v>
      </c>
      <c r="G24" s="6">
        <v>99.98</v>
      </c>
      <c r="H24" s="4">
        <v>36113</v>
      </c>
      <c r="I24" s="2" t="s">
        <v>2026</v>
      </c>
      <c r="J24" s="10" t="s">
        <v>2497</v>
      </c>
      <c r="K24" s="6"/>
      <c r="L24" s="6"/>
      <c r="M24" s="2" t="s">
        <v>1970</v>
      </c>
      <c r="N24" s="2" t="s">
        <v>2005</v>
      </c>
      <c r="O24" s="2" t="s">
        <v>2098</v>
      </c>
      <c r="P24" s="2" t="s">
        <v>2499</v>
      </c>
      <c r="Q24" s="2" t="s">
        <v>1995</v>
      </c>
      <c r="R24" s="11" t="str">
        <f>HYPERLINK("http://slimages.macys.com/is/image/MCY/16456689 ")</f>
        <v xml:space="preserve">http://slimages.macys.com/is/image/MCY/16456689 </v>
      </c>
    </row>
    <row r="25" spans="1:18" ht="24.75" x14ac:dyDescent="0.25">
      <c r="A25" s="8" t="s">
        <v>1040</v>
      </c>
      <c r="B25" s="2" t="s">
        <v>1041</v>
      </c>
      <c r="C25" s="4">
        <v>1</v>
      </c>
      <c r="D25" s="6">
        <v>21.7</v>
      </c>
      <c r="E25" s="6">
        <v>21.7</v>
      </c>
      <c r="F25" s="9">
        <v>52.99</v>
      </c>
      <c r="G25" s="6">
        <v>52.99</v>
      </c>
      <c r="H25" s="4" t="s">
        <v>1042</v>
      </c>
      <c r="I25" s="2" t="s">
        <v>1993</v>
      </c>
      <c r="J25" s="10"/>
      <c r="K25" s="6"/>
      <c r="L25" s="6"/>
      <c r="M25" s="2" t="s">
        <v>1970</v>
      </c>
      <c r="N25" s="2" t="s">
        <v>1986</v>
      </c>
      <c r="O25" s="2" t="s">
        <v>1987</v>
      </c>
      <c r="P25" s="2" t="s">
        <v>1988</v>
      </c>
      <c r="Q25" s="2" t="s">
        <v>2053</v>
      </c>
      <c r="R25" s="11" t="str">
        <f>HYPERLINK("http://slimages.macys.com/is/image/MCY/9767710 ")</f>
        <v xml:space="preserve">http://slimages.macys.com/is/image/MCY/9767710 </v>
      </c>
    </row>
    <row r="26" spans="1:18" ht="24.75" x14ac:dyDescent="0.25">
      <c r="A26" s="8" t="s">
        <v>2972</v>
      </c>
      <c r="B26" s="2" t="s">
        <v>1043</v>
      </c>
      <c r="C26" s="4">
        <v>1</v>
      </c>
      <c r="D26" s="6">
        <v>21.04</v>
      </c>
      <c r="E26" s="6">
        <v>21.04</v>
      </c>
      <c r="F26" s="9">
        <v>49.99</v>
      </c>
      <c r="G26" s="6">
        <v>49.99</v>
      </c>
      <c r="H26" s="4">
        <v>20554022</v>
      </c>
      <c r="I26" s="2" t="s">
        <v>2004</v>
      </c>
      <c r="J26" s="10"/>
      <c r="K26" s="6"/>
      <c r="L26" s="6"/>
      <c r="M26" s="2" t="s">
        <v>1970</v>
      </c>
      <c r="N26" s="2" t="s">
        <v>1986</v>
      </c>
      <c r="O26" s="2" t="s">
        <v>2967</v>
      </c>
      <c r="P26" s="2" t="s">
        <v>2933</v>
      </c>
      <c r="Q26" s="2" t="s">
        <v>2968</v>
      </c>
      <c r="R26" s="11" t="str">
        <f>HYPERLINK("http://slimages.macys.com/is/image/MCY/12953897 ")</f>
        <v xml:space="preserve">http://slimages.macys.com/is/image/MCY/12953897 </v>
      </c>
    </row>
    <row r="27" spans="1:18" ht="24.75" x14ac:dyDescent="0.25">
      <c r="A27" s="8" t="s">
        <v>2557</v>
      </c>
      <c r="B27" s="2" t="s">
        <v>1044</v>
      </c>
      <c r="C27" s="4">
        <v>2</v>
      </c>
      <c r="D27" s="6">
        <v>18</v>
      </c>
      <c r="E27" s="6">
        <v>36</v>
      </c>
      <c r="F27" s="9">
        <v>39.99</v>
      </c>
      <c r="G27" s="6">
        <v>79.98</v>
      </c>
      <c r="H27" s="4" t="s">
        <v>2559</v>
      </c>
      <c r="I27" s="2" t="s">
        <v>2560</v>
      </c>
      <c r="J27" s="10" t="s">
        <v>2425</v>
      </c>
      <c r="K27" s="6"/>
      <c r="L27" s="6"/>
      <c r="M27" s="2" t="s">
        <v>1970</v>
      </c>
      <c r="N27" s="2" t="s">
        <v>2012</v>
      </c>
      <c r="O27" s="2" t="s">
        <v>2426</v>
      </c>
      <c r="P27" s="2" t="s">
        <v>1988</v>
      </c>
      <c r="Q27" s="2"/>
      <c r="R27" s="11" t="str">
        <f>HYPERLINK("http://slimages.macys.com/is/image/MCY/16008352 ")</f>
        <v xml:space="preserve">http://slimages.macys.com/is/image/MCY/16008352 </v>
      </c>
    </row>
    <row r="28" spans="1:18" ht="24.75" x14ac:dyDescent="0.25">
      <c r="A28" s="8" t="s">
        <v>1045</v>
      </c>
      <c r="B28" s="2" t="s">
        <v>1046</v>
      </c>
      <c r="C28" s="4">
        <v>4</v>
      </c>
      <c r="D28" s="6">
        <v>17.87</v>
      </c>
      <c r="E28" s="6">
        <v>71.48</v>
      </c>
      <c r="F28" s="9">
        <v>38.99</v>
      </c>
      <c r="G28" s="6">
        <v>155.96</v>
      </c>
      <c r="H28" s="4" t="s">
        <v>1047</v>
      </c>
      <c r="I28" s="2" t="s">
        <v>1993</v>
      </c>
      <c r="J28" s="10"/>
      <c r="K28" s="6"/>
      <c r="L28" s="6"/>
      <c r="M28" s="2" t="s">
        <v>1970</v>
      </c>
      <c r="N28" s="2" t="s">
        <v>2012</v>
      </c>
      <c r="O28" s="2" t="s">
        <v>1987</v>
      </c>
      <c r="P28" s="2" t="s">
        <v>1988</v>
      </c>
      <c r="Q28" s="2" t="s">
        <v>1048</v>
      </c>
      <c r="R28" s="11" t="str">
        <f>HYPERLINK("http://slimages.macys.com/is/image/MCY/9534554 ")</f>
        <v xml:space="preserve">http://slimages.macys.com/is/image/MCY/9534554 </v>
      </c>
    </row>
    <row r="29" spans="1:18" ht="48.75" x14ac:dyDescent="0.25">
      <c r="A29" s="8" t="s">
        <v>1049</v>
      </c>
      <c r="B29" s="2" t="s">
        <v>1050</v>
      </c>
      <c r="C29" s="4">
        <v>1</v>
      </c>
      <c r="D29" s="6">
        <v>20.25</v>
      </c>
      <c r="E29" s="6">
        <v>20.25</v>
      </c>
      <c r="F29" s="9">
        <v>49.99</v>
      </c>
      <c r="G29" s="6">
        <v>49.99</v>
      </c>
      <c r="H29" s="4" t="s">
        <v>1051</v>
      </c>
      <c r="I29" s="2" t="s">
        <v>2294</v>
      </c>
      <c r="J29" s="10" t="s">
        <v>1052</v>
      </c>
      <c r="K29" s="6"/>
      <c r="L29" s="6"/>
      <c r="M29" s="2" t="s">
        <v>1970</v>
      </c>
      <c r="N29" s="2" t="s">
        <v>2626</v>
      </c>
      <c r="O29" s="2" t="s">
        <v>1053</v>
      </c>
      <c r="P29" s="2" t="s">
        <v>1988</v>
      </c>
      <c r="Q29" s="2" t="s">
        <v>1054</v>
      </c>
      <c r="R29" s="11" t="str">
        <f>HYPERLINK("http://slimages.macys.com/is/image/MCY/9184002 ")</f>
        <v xml:space="preserve">http://slimages.macys.com/is/image/MCY/9184002 </v>
      </c>
    </row>
    <row r="30" spans="1:18" ht="24.75" x14ac:dyDescent="0.25">
      <c r="A30" s="8" t="s">
        <v>2427</v>
      </c>
      <c r="B30" s="2" t="s">
        <v>2428</v>
      </c>
      <c r="C30" s="4">
        <v>1</v>
      </c>
      <c r="D30" s="6">
        <v>15.6</v>
      </c>
      <c r="E30" s="6">
        <v>15.6</v>
      </c>
      <c r="F30" s="9">
        <v>34.99</v>
      </c>
      <c r="G30" s="6">
        <v>34.99</v>
      </c>
      <c r="H30" s="4" t="s">
        <v>2429</v>
      </c>
      <c r="I30" s="2" t="s">
        <v>2430</v>
      </c>
      <c r="J30" s="10" t="s">
        <v>2431</v>
      </c>
      <c r="K30" s="6"/>
      <c r="L30" s="6"/>
      <c r="M30" s="2" t="s">
        <v>1970</v>
      </c>
      <c r="N30" s="2" t="s">
        <v>2012</v>
      </c>
      <c r="O30" s="2" t="s">
        <v>2426</v>
      </c>
      <c r="P30" s="2" t="s">
        <v>1988</v>
      </c>
      <c r="Q30" s="2"/>
      <c r="R30" s="11" t="str">
        <f>HYPERLINK("http://slimages.macys.com/is/image/MCY/16008345 ")</f>
        <v xml:space="preserve">http://slimages.macys.com/is/image/MCY/16008345 </v>
      </c>
    </row>
    <row r="31" spans="1:18" ht="24.75" x14ac:dyDescent="0.25">
      <c r="A31" s="8" t="s">
        <v>1055</v>
      </c>
      <c r="B31" s="2" t="s">
        <v>1056</v>
      </c>
      <c r="C31" s="4">
        <v>2</v>
      </c>
      <c r="D31" s="6">
        <v>14.35</v>
      </c>
      <c r="E31" s="6">
        <v>28.7</v>
      </c>
      <c r="F31" s="9">
        <v>29.99</v>
      </c>
      <c r="G31" s="6">
        <v>59.98</v>
      </c>
      <c r="H31" s="4" t="s">
        <v>1057</v>
      </c>
      <c r="I31" s="2" t="s">
        <v>2071</v>
      </c>
      <c r="J31" s="10" t="s">
        <v>2431</v>
      </c>
      <c r="K31" s="6"/>
      <c r="L31" s="6"/>
      <c r="M31" s="2" t="s">
        <v>1970</v>
      </c>
      <c r="N31" s="2" t="s">
        <v>2012</v>
      </c>
      <c r="O31" s="2" t="s">
        <v>2426</v>
      </c>
      <c r="P31" s="2" t="s">
        <v>1988</v>
      </c>
      <c r="Q31" s="2"/>
      <c r="R31" s="11" t="str">
        <f>HYPERLINK("http://slimages.macys.com/is/image/MCY/13531743 ")</f>
        <v xml:space="preserve">http://slimages.macys.com/is/image/MCY/13531743 </v>
      </c>
    </row>
    <row r="32" spans="1:18" ht="24.75" x14ac:dyDescent="0.25">
      <c r="A32" s="8" t="s">
        <v>1058</v>
      </c>
      <c r="B32" s="2" t="s">
        <v>1059</v>
      </c>
      <c r="C32" s="4">
        <v>1</v>
      </c>
      <c r="D32" s="6">
        <v>14.25</v>
      </c>
      <c r="E32" s="6">
        <v>14.25</v>
      </c>
      <c r="F32" s="9">
        <v>29.99</v>
      </c>
      <c r="G32" s="6">
        <v>29.99</v>
      </c>
      <c r="H32" s="4" t="s">
        <v>1060</v>
      </c>
      <c r="I32" s="2"/>
      <c r="J32" s="10"/>
      <c r="K32" s="6"/>
      <c r="L32" s="6"/>
      <c r="M32" s="2" t="s">
        <v>1970</v>
      </c>
      <c r="N32" s="2" t="s">
        <v>2012</v>
      </c>
      <c r="O32" s="2" t="s">
        <v>2448</v>
      </c>
      <c r="P32" s="2" t="s">
        <v>1988</v>
      </c>
      <c r="Q32" s="2"/>
      <c r="R32" s="11" t="str">
        <f>HYPERLINK("http://slimages.macys.com/is/image/MCY/13701076 ")</f>
        <v xml:space="preserve">http://slimages.macys.com/is/image/MCY/13701076 </v>
      </c>
    </row>
    <row r="33" spans="1:18" ht="24.75" x14ac:dyDescent="0.25">
      <c r="A33" s="8" t="s">
        <v>1061</v>
      </c>
      <c r="B33" s="2" t="s">
        <v>1062</v>
      </c>
      <c r="C33" s="4">
        <v>1</v>
      </c>
      <c r="D33" s="6">
        <v>16.489999999999998</v>
      </c>
      <c r="E33" s="6">
        <v>16.489999999999998</v>
      </c>
      <c r="F33" s="9">
        <v>34.99</v>
      </c>
      <c r="G33" s="6">
        <v>34.99</v>
      </c>
      <c r="H33" s="4" t="s">
        <v>1063</v>
      </c>
      <c r="I33" s="2" t="s">
        <v>2026</v>
      </c>
      <c r="J33" s="10"/>
      <c r="K33" s="6"/>
      <c r="L33" s="6"/>
      <c r="M33" s="2" t="s">
        <v>1970</v>
      </c>
      <c r="N33" s="2" t="s">
        <v>991</v>
      </c>
      <c r="O33" s="2" t="s">
        <v>1064</v>
      </c>
      <c r="P33" s="2" t="s">
        <v>2335</v>
      </c>
      <c r="Q33" s="2" t="s">
        <v>1065</v>
      </c>
      <c r="R33" s="11" t="str">
        <f>HYPERLINK("http://slimages.macys.com/is/image/MCY/3717046 ")</f>
        <v xml:space="preserve">http://slimages.macys.com/is/image/MCY/3717046 </v>
      </c>
    </row>
    <row r="34" spans="1:18" ht="24.75" x14ac:dyDescent="0.25">
      <c r="A34" s="8" t="s">
        <v>2445</v>
      </c>
      <c r="B34" s="2" t="s">
        <v>2446</v>
      </c>
      <c r="C34" s="4">
        <v>3</v>
      </c>
      <c r="D34" s="6">
        <v>13.9</v>
      </c>
      <c r="E34" s="6">
        <v>41.7</v>
      </c>
      <c r="F34" s="9">
        <v>29.99</v>
      </c>
      <c r="G34" s="6">
        <v>89.97</v>
      </c>
      <c r="H34" s="4" t="s">
        <v>2447</v>
      </c>
      <c r="I34" s="2"/>
      <c r="J34" s="10"/>
      <c r="K34" s="6"/>
      <c r="L34" s="6"/>
      <c r="M34" s="2" t="s">
        <v>1970</v>
      </c>
      <c r="N34" s="2" t="s">
        <v>2012</v>
      </c>
      <c r="O34" s="2" t="s">
        <v>2448</v>
      </c>
      <c r="P34" s="2" t="s">
        <v>1988</v>
      </c>
      <c r="Q34" s="2" t="s">
        <v>2449</v>
      </c>
      <c r="R34" s="11" t="str">
        <f>HYPERLINK("http://slimages.macys.com/is/image/MCY/16096291 ")</f>
        <v xml:space="preserve">http://slimages.macys.com/is/image/MCY/16096291 </v>
      </c>
    </row>
    <row r="35" spans="1:18" ht="24.75" x14ac:dyDescent="0.25">
      <c r="A35" s="8" t="s">
        <v>1066</v>
      </c>
      <c r="B35" s="2" t="s">
        <v>1067</v>
      </c>
      <c r="C35" s="4">
        <v>1</v>
      </c>
      <c r="D35" s="6">
        <v>12</v>
      </c>
      <c r="E35" s="6">
        <v>12</v>
      </c>
      <c r="F35" s="9">
        <v>24.99</v>
      </c>
      <c r="G35" s="6">
        <v>24.99</v>
      </c>
      <c r="H35" s="4" t="s">
        <v>1068</v>
      </c>
      <c r="I35" s="2" t="s">
        <v>2283</v>
      </c>
      <c r="J35" s="10"/>
      <c r="K35" s="6"/>
      <c r="L35" s="6"/>
      <c r="M35" s="2" t="s">
        <v>1970</v>
      </c>
      <c r="N35" s="2" t="s">
        <v>2012</v>
      </c>
      <c r="O35" s="2" t="s">
        <v>2448</v>
      </c>
      <c r="P35" s="2" t="s">
        <v>1988</v>
      </c>
      <c r="Q35" s="2"/>
      <c r="R35" s="11" t="str">
        <f>HYPERLINK("http://slimages.macys.com/is/image/MCY/11926861 ")</f>
        <v xml:space="preserve">http://slimages.macys.com/is/image/MCY/11926861 </v>
      </c>
    </row>
    <row r="36" spans="1:18" ht="24.75" x14ac:dyDescent="0.25">
      <c r="A36" s="8" t="s">
        <v>1069</v>
      </c>
      <c r="B36" s="2" t="s">
        <v>1070</v>
      </c>
      <c r="C36" s="4">
        <v>3</v>
      </c>
      <c r="D36" s="6">
        <v>12</v>
      </c>
      <c r="E36" s="6">
        <v>36</v>
      </c>
      <c r="F36" s="9">
        <v>29.99</v>
      </c>
      <c r="G36" s="6">
        <v>89.97</v>
      </c>
      <c r="H36" s="4" t="s">
        <v>1071</v>
      </c>
      <c r="I36" s="2" t="s">
        <v>1985</v>
      </c>
      <c r="J36" s="10"/>
      <c r="K36" s="6"/>
      <c r="L36" s="6"/>
      <c r="M36" s="2" t="s">
        <v>1970</v>
      </c>
      <c r="N36" s="2" t="s">
        <v>2012</v>
      </c>
      <c r="O36" s="2" t="s">
        <v>1072</v>
      </c>
      <c r="P36" s="2" t="s">
        <v>1988</v>
      </c>
      <c r="Q36" s="2"/>
      <c r="R36" s="11" t="str">
        <f>HYPERLINK("http://slimages.macys.com/is/image/MCY/15176423 ")</f>
        <v xml:space="preserve">http://slimages.macys.com/is/image/MCY/15176423 </v>
      </c>
    </row>
    <row r="37" spans="1:18" ht="24.75" x14ac:dyDescent="0.25">
      <c r="A37" s="8" t="s">
        <v>1073</v>
      </c>
      <c r="B37" s="2" t="s">
        <v>1074</v>
      </c>
      <c r="C37" s="4">
        <v>1</v>
      </c>
      <c r="D37" s="6">
        <v>11.48</v>
      </c>
      <c r="E37" s="6">
        <v>11.48</v>
      </c>
      <c r="F37" s="9">
        <v>29.99</v>
      </c>
      <c r="G37" s="6">
        <v>29.99</v>
      </c>
      <c r="H37" s="4" t="s">
        <v>1075</v>
      </c>
      <c r="I37" s="2" t="s">
        <v>1076</v>
      </c>
      <c r="J37" s="10"/>
      <c r="K37" s="6"/>
      <c r="L37" s="6"/>
      <c r="M37" s="2" t="s">
        <v>1970</v>
      </c>
      <c r="N37" s="2" t="s">
        <v>2012</v>
      </c>
      <c r="O37" s="2" t="s">
        <v>2627</v>
      </c>
      <c r="P37" s="2" t="s">
        <v>1988</v>
      </c>
      <c r="Q37" s="2" t="s">
        <v>2063</v>
      </c>
      <c r="R37" s="11" t="str">
        <f>HYPERLINK("http://slimages.macys.com/is/image/MCY/11303377 ")</f>
        <v xml:space="preserve">http://slimages.macys.com/is/image/MCY/11303377 </v>
      </c>
    </row>
    <row r="38" spans="1:18" ht="24.75" x14ac:dyDescent="0.25">
      <c r="A38" s="8" t="s">
        <v>1077</v>
      </c>
      <c r="B38" s="2" t="s">
        <v>1078</v>
      </c>
      <c r="C38" s="4">
        <v>1</v>
      </c>
      <c r="D38" s="6">
        <v>10.81</v>
      </c>
      <c r="E38" s="6">
        <v>10.81</v>
      </c>
      <c r="F38" s="9">
        <v>14.99</v>
      </c>
      <c r="G38" s="6">
        <v>14.99</v>
      </c>
      <c r="H38" s="4" t="s">
        <v>1079</v>
      </c>
      <c r="I38" s="2" t="s">
        <v>2825</v>
      </c>
      <c r="J38" s="10" t="s">
        <v>1080</v>
      </c>
      <c r="K38" s="6"/>
      <c r="L38" s="6"/>
      <c r="M38" s="2" t="s">
        <v>1970</v>
      </c>
      <c r="N38" s="2" t="s">
        <v>2184</v>
      </c>
      <c r="O38" s="2" t="s">
        <v>1081</v>
      </c>
      <c r="P38" s="2" t="s">
        <v>2039</v>
      </c>
      <c r="Q38" s="2" t="s">
        <v>1082</v>
      </c>
      <c r="R38" s="11" t="str">
        <f>HYPERLINK("http://slimages.macys.com/is/image/MCY/15633945 ")</f>
        <v xml:space="preserve">http://slimages.macys.com/is/image/MCY/15633945 </v>
      </c>
    </row>
    <row r="39" spans="1:18" ht="24.75" x14ac:dyDescent="0.25">
      <c r="A39" s="8" t="s">
        <v>1083</v>
      </c>
      <c r="B39" s="2" t="s">
        <v>1084</v>
      </c>
      <c r="C39" s="4">
        <v>1</v>
      </c>
      <c r="D39" s="6">
        <v>11.16</v>
      </c>
      <c r="E39" s="6">
        <v>11.16</v>
      </c>
      <c r="F39" s="9">
        <v>27.99</v>
      </c>
      <c r="G39" s="6">
        <v>27.99</v>
      </c>
      <c r="H39" s="4" t="s">
        <v>1085</v>
      </c>
      <c r="I39" s="2" t="s">
        <v>1086</v>
      </c>
      <c r="J39" s="10"/>
      <c r="K39" s="6"/>
      <c r="L39" s="6"/>
      <c r="M39" s="2" t="s">
        <v>1970</v>
      </c>
      <c r="N39" s="2" t="s">
        <v>2012</v>
      </c>
      <c r="O39" s="2" t="s">
        <v>1987</v>
      </c>
      <c r="P39" s="2" t="s">
        <v>1988</v>
      </c>
      <c r="Q39" s="2" t="s">
        <v>1087</v>
      </c>
      <c r="R39" s="11" t="str">
        <f>HYPERLINK("http://slimages.macys.com/is/image/MCY/9534578 ")</f>
        <v xml:space="preserve">http://slimages.macys.com/is/image/MCY/9534578 </v>
      </c>
    </row>
    <row r="40" spans="1:18" ht="24.75" x14ac:dyDescent="0.25">
      <c r="A40" s="8" t="s">
        <v>1088</v>
      </c>
      <c r="B40" s="2" t="s">
        <v>1089</v>
      </c>
      <c r="C40" s="4">
        <v>1</v>
      </c>
      <c r="D40" s="6">
        <v>10.24</v>
      </c>
      <c r="E40" s="6">
        <v>10.24</v>
      </c>
      <c r="F40" s="9">
        <v>24.99</v>
      </c>
      <c r="G40" s="6">
        <v>24.99</v>
      </c>
      <c r="H40" s="4">
        <v>1006772300</v>
      </c>
      <c r="I40" s="2" t="s">
        <v>2017</v>
      </c>
      <c r="J40" s="10"/>
      <c r="K40" s="6"/>
      <c r="L40" s="6"/>
      <c r="M40" s="2" t="s">
        <v>1970</v>
      </c>
      <c r="N40" s="2" t="s">
        <v>2396</v>
      </c>
      <c r="O40" s="2" t="s">
        <v>1090</v>
      </c>
      <c r="P40" s="2" t="s">
        <v>1988</v>
      </c>
      <c r="Q40" s="2" t="s">
        <v>2310</v>
      </c>
      <c r="R40" s="11" t="str">
        <f>HYPERLINK("http://slimages.macys.com/is/image/MCY/13469346 ")</f>
        <v xml:space="preserve">http://slimages.macys.com/is/image/MCY/13469346 </v>
      </c>
    </row>
    <row r="41" spans="1:18" ht="24.75" x14ac:dyDescent="0.25">
      <c r="A41" s="8" t="s">
        <v>1091</v>
      </c>
      <c r="B41" s="2" t="s">
        <v>1092</v>
      </c>
      <c r="C41" s="4">
        <v>1</v>
      </c>
      <c r="D41" s="6">
        <v>11.73</v>
      </c>
      <c r="E41" s="6">
        <v>11.73</v>
      </c>
      <c r="F41" s="9">
        <v>29.99</v>
      </c>
      <c r="G41" s="6">
        <v>29.99</v>
      </c>
      <c r="H41" s="4" t="s">
        <v>1093</v>
      </c>
      <c r="I41" s="2" t="s">
        <v>2026</v>
      </c>
      <c r="J41" s="10"/>
      <c r="K41" s="6"/>
      <c r="L41" s="6"/>
      <c r="M41" s="2" t="s">
        <v>1970</v>
      </c>
      <c r="N41" s="2" t="s">
        <v>991</v>
      </c>
      <c r="O41" s="2" t="s">
        <v>1064</v>
      </c>
      <c r="P41" s="2" t="s">
        <v>2335</v>
      </c>
      <c r="Q41" s="2"/>
      <c r="R41" s="11" t="str">
        <f>HYPERLINK("http://slimages.macys.com/is/image/MCY/9454194 ")</f>
        <v xml:space="preserve">http://slimages.macys.com/is/image/MCY/9454194 </v>
      </c>
    </row>
    <row r="42" spans="1:18" ht="24.75" x14ac:dyDescent="0.25">
      <c r="A42" s="8" t="s">
        <v>1094</v>
      </c>
      <c r="B42" s="2" t="s">
        <v>1095</v>
      </c>
      <c r="C42" s="4">
        <v>1</v>
      </c>
      <c r="D42" s="6">
        <v>11.27</v>
      </c>
      <c r="E42" s="6">
        <v>11.27</v>
      </c>
      <c r="F42" s="9">
        <v>34.99</v>
      </c>
      <c r="G42" s="6">
        <v>34.99</v>
      </c>
      <c r="H42" s="4" t="s">
        <v>1096</v>
      </c>
      <c r="I42" s="2" t="s">
        <v>2120</v>
      </c>
      <c r="J42" s="10"/>
      <c r="K42" s="6"/>
      <c r="L42" s="6"/>
      <c r="M42" s="2" t="s">
        <v>1970</v>
      </c>
      <c r="N42" s="2" t="s">
        <v>2386</v>
      </c>
      <c r="O42" s="2" t="s">
        <v>2932</v>
      </c>
      <c r="P42" s="2" t="s">
        <v>1988</v>
      </c>
      <c r="Q42" s="2"/>
      <c r="R42" s="11" t="str">
        <f>HYPERLINK("http://slimages.macys.com/is/image/MCY/12071409 ")</f>
        <v xml:space="preserve">http://slimages.macys.com/is/image/MCY/12071409 </v>
      </c>
    </row>
    <row r="43" spans="1:18" ht="24.75" x14ac:dyDescent="0.25">
      <c r="A43" s="8" t="s">
        <v>1097</v>
      </c>
      <c r="B43" s="2" t="s">
        <v>1098</v>
      </c>
      <c r="C43" s="4">
        <v>2</v>
      </c>
      <c r="D43" s="6">
        <v>8.9499999999999993</v>
      </c>
      <c r="E43" s="6">
        <v>17.899999999999999</v>
      </c>
      <c r="F43" s="9">
        <v>9.99</v>
      </c>
      <c r="G43" s="6">
        <v>19.98</v>
      </c>
      <c r="H43" s="4" t="s">
        <v>1099</v>
      </c>
      <c r="I43" s="2"/>
      <c r="J43" s="10"/>
      <c r="K43" s="6"/>
      <c r="L43" s="6"/>
      <c r="M43" s="2" t="s">
        <v>1970</v>
      </c>
      <c r="N43" s="2" t="s">
        <v>2184</v>
      </c>
      <c r="O43" s="2" t="s">
        <v>1081</v>
      </c>
      <c r="P43" s="2" t="s">
        <v>2039</v>
      </c>
      <c r="Q43" s="2" t="s">
        <v>1082</v>
      </c>
      <c r="R43" s="11" t="str">
        <f>HYPERLINK("http://slimages.macys.com/is/image/MCY/15633945 ")</f>
        <v xml:space="preserve">http://slimages.macys.com/is/image/MCY/15633945 </v>
      </c>
    </row>
    <row r="44" spans="1:18" ht="24.75" x14ac:dyDescent="0.25">
      <c r="A44" s="8" t="s">
        <v>1100</v>
      </c>
      <c r="B44" s="2" t="s">
        <v>1101</v>
      </c>
      <c r="C44" s="4">
        <v>2</v>
      </c>
      <c r="D44" s="6">
        <v>7.8</v>
      </c>
      <c r="E44" s="6">
        <v>15.6</v>
      </c>
      <c r="F44" s="9">
        <v>15.99</v>
      </c>
      <c r="G44" s="6">
        <v>31.98</v>
      </c>
      <c r="H44" s="4">
        <v>47406</v>
      </c>
      <c r="I44" s="2" t="s">
        <v>2536</v>
      </c>
      <c r="J44" s="10"/>
      <c r="K44" s="6"/>
      <c r="L44" s="6"/>
      <c r="M44" s="2" t="s">
        <v>1970</v>
      </c>
      <c r="N44" s="2" t="s">
        <v>2012</v>
      </c>
      <c r="O44" s="2" t="s">
        <v>2203</v>
      </c>
      <c r="P44" s="2" t="s">
        <v>1988</v>
      </c>
      <c r="Q44" s="2"/>
      <c r="R44" s="11" t="str">
        <f>HYPERLINK("http://slimages.macys.com/is/image/MCY/10006589 ")</f>
        <v xml:space="preserve">http://slimages.macys.com/is/image/MCY/10006589 </v>
      </c>
    </row>
    <row r="45" spans="1:18" ht="24.75" x14ac:dyDescent="0.25">
      <c r="A45" s="8" t="s">
        <v>1102</v>
      </c>
      <c r="B45" s="2" t="s">
        <v>1103</v>
      </c>
      <c r="C45" s="4">
        <v>1</v>
      </c>
      <c r="D45" s="6">
        <v>6.01</v>
      </c>
      <c r="E45" s="6">
        <v>6.01</v>
      </c>
      <c r="F45" s="9">
        <v>29.99</v>
      </c>
      <c r="G45" s="6">
        <v>29.99</v>
      </c>
      <c r="H45" s="4" t="s">
        <v>1104</v>
      </c>
      <c r="I45" s="2" t="s">
        <v>2071</v>
      </c>
      <c r="J45" s="10"/>
      <c r="K45" s="6"/>
      <c r="L45" s="6"/>
      <c r="M45" s="2" t="s">
        <v>1970</v>
      </c>
      <c r="N45" s="2" t="s">
        <v>2386</v>
      </c>
      <c r="O45" s="2" t="s">
        <v>2932</v>
      </c>
      <c r="P45" s="2" t="s">
        <v>1988</v>
      </c>
      <c r="Q45" s="2"/>
      <c r="R45" s="11" t="str">
        <f>HYPERLINK("http://slimages.macys.com/is/image/MCY/9997443 ")</f>
        <v xml:space="preserve">http://slimages.macys.com/is/image/MCY/9997443 </v>
      </c>
    </row>
    <row r="46" spans="1:18" ht="24.75" x14ac:dyDescent="0.25">
      <c r="A46" s="8" t="s">
        <v>1105</v>
      </c>
      <c r="B46" s="2" t="s">
        <v>1106</v>
      </c>
      <c r="C46" s="4">
        <v>1</v>
      </c>
      <c r="D46" s="6">
        <v>1.9</v>
      </c>
      <c r="E46" s="6">
        <v>1.9</v>
      </c>
      <c r="F46" s="9">
        <v>3.99</v>
      </c>
      <c r="G46" s="6">
        <v>3.99</v>
      </c>
      <c r="H46" s="4">
        <v>878299</v>
      </c>
      <c r="I46" s="2"/>
      <c r="J46" s="10" t="s">
        <v>2107</v>
      </c>
      <c r="K46" s="6"/>
      <c r="L46" s="6"/>
      <c r="M46" s="2" t="s">
        <v>1970</v>
      </c>
      <c r="N46" s="2" t="s">
        <v>2093</v>
      </c>
      <c r="O46" s="2" t="s">
        <v>1107</v>
      </c>
      <c r="P46" s="2" t="s">
        <v>1988</v>
      </c>
      <c r="Q46" s="2" t="s">
        <v>1108</v>
      </c>
      <c r="R46" s="11" t="str">
        <f>HYPERLINK("http://slimages.macys.com/is/image/MCY/11524665 ")</f>
        <v xml:space="preserve">http://slimages.macys.com/is/image/MCY/11524665 </v>
      </c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2:R38"/>
  <sheetViews>
    <sheetView topLeftCell="A27" workbookViewId="0">
      <selection activeCell="E48" sqref="E48"/>
    </sheetView>
  </sheetViews>
  <sheetFormatPr defaultRowHeight="15" x14ac:dyDescent="0.25"/>
  <cols>
    <col min="1" max="1" width="14.28515625" customWidth="1"/>
    <col min="2" max="2" width="46.85546875" customWidth="1"/>
    <col min="3" max="3" width="15" customWidth="1"/>
    <col min="4" max="4" width="10.85546875" customWidth="1"/>
    <col min="5" max="6" width="15" customWidth="1"/>
    <col min="7" max="7" width="10.85546875" customWidth="1"/>
    <col min="8" max="8" width="14.28515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2" spans="1:18" ht="36" x14ac:dyDescent="0.25">
      <c r="A2" s="1" t="s">
        <v>1971</v>
      </c>
      <c r="B2" s="1" t="s">
        <v>1972</v>
      </c>
      <c r="C2" s="1" t="s">
        <v>1973</v>
      </c>
      <c r="D2" s="1" t="s">
        <v>1962</v>
      </c>
      <c r="E2" s="1" t="s">
        <v>1967</v>
      </c>
      <c r="F2" s="1" t="s">
        <v>1963</v>
      </c>
      <c r="G2" s="1" t="s">
        <v>1968</v>
      </c>
      <c r="H2" s="1" t="s">
        <v>1974</v>
      </c>
      <c r="I2" s="1" t="s">
        <v>1975</v>
      </c>
      <c r="J2" s="1" t="s">
        <v>1976</v>
      </c>
      <c r="K2" s="1"/>
      <c r="L2" s="1"/>
      <c r="M2" s="1" t="s">
        <v>1969</v>
      </c>
      <c r="N2" s="1" t="s">
        <v>1977</v>
      </c>
      <c r="O2" s="1" t="s">
        <v>1978</v>
      </c>
      <c r="P2" s="1" t="s">
        <v>1979</v>
      </c>
      <c r="Q2" s="1" t="s">
        <v>1980</v>
      </c>
      <c r="R2" s="1" t="s">
        <v>1981</v>
      </c>
    </row>
    <row r="3" spans="1:18" ht="48.75" x14ac:dyDescent="0.25">
      <c r="A3" s="8" t="s">
        <v>1332</v>
      </c>
      <c r="B3" s="2" t="s">
        <v>1333</v>
      </c>
      <c r="C3" s="4">
        <v>1</v>
      </c>
      <c r="D3" s="6">
        <v>180</v>
      </c>
      <c r="E3" s="6">
        <v>180</v>
      </c>
      <c r="F3" s="9">
        <v>504.99</v>
      </c>
      <c r="G3" s="6">
        <v>504.99</v>
      </c>
      <c r="H3" s="4" t="s">
        <v>1334</v>
      </c>
      <c r="I3" s="2" t="s">
        <v>2026</v>
      </c>
      <c r="J3" s="10"/>
      <c r="K3" s="6"/>
      <c r="L3" s="6"/>
      <c r="M3" s="2" t="s">
        <v>1970</v>
      </c>
      <c r="N3" s="2" t="s">
        <v>2027</v>
      </c>
      <c r="O3" s="2" t="s">
        <v>1335</v>
      </c>
      <c r="P3" s="2" t="s">
        <v>2499</v>
      </c>
      <c r="Q3" s="2" t="s">
        <v>1336</v>
      </c>
      <c r="R3" s="11" t="str">
        <f>HYPERLINK("http://slimages.macys.com/is/image/MCY/12753774 ")</f>
        <v xml:space="preserve">http://slimages.macys.com/is/image/MCY/12753774 </v>
      </c>
    </row>
    <row r="4" spans="1:18" ht="24.75" x14ac:dyDescent="0.25">
      <c r="A4" s="8" t="s">
        <v>1337</v>
      </c>
      <c r="B4" s="2" t="s">
        <v>1338</v>
      </c>
      <c r="C4" s="4">
        <v>1</v>
      </c>
      <c r="D4" s="6">
        <v>117.45</v>
      </c>
      <c r="E4" s="6">
        <v>117.45</v>
      </c>
      <c r="F4" s="9">
        <v>299.99</v>
      </c>
      <c r="G4" s="6">
        <v>299.99</v>
      </c>
      <c r="H4" s="4" t="s">
        <v>1339</v>
      </c>
      <c r="I4" s="2" t="s">
        <v>2283</v>
      </c>
      <c r="J4" s="10"/>
      <c r="K4" s="6"/>
      <c r="L4" s="6"/>
      <c r="M4" s="2" t="s">
        <v>1970</v>
      </c>
      <c r="N4" s="2" t="s">
        <v>2626</v>
      </c>
      <c r="O4" s="2" t="s">
        <v>2627</v>
      </c>
      <c r="P4" s="2" t="s">
        <v>1988</v>
      </c>
      <c r="Q4" s="2" t="s">
        <v>1995</v>
      </c>
      <c r="R4" s="11" t="str">
        <f>HYPERLINK("http://slimages.macys.com/is/image/MCY/3391862 ")</f>
        <v xml:space="preserve">http://slimages.macys.com/is/image/MCY/3391862 </v>
      </c>
    </row>
    <row r="5" spans="1:18" ht="24.75" x14ac:dyDescent="0.25">
      <c r="A5" s="8" t="s">
        <v>877</v>
      </c>
      <c r="B5" s="2" t="s">
        <v>878</v>
      </c>
      <c r="C5" s="4">
        <v>1</v>
      </c>
      <c r="D5" s="6">
        <v>86.1</v>
      </c>
      <c r="E5" s="6">
        <v>86.1</v>
      </c>
      <c r="F5" s="9">
        <v>276.99</v>
      </c>
      <c r="G5" s="6">
        <v>276.99</v>
      </c>
      <c r="H5" s="4" t="s">
        <v>879</v>
      </c>
      <c r="I5" s="2" t="s">
        <v>2358</v>
      </c>
      <c r="J5" s="10"/>
      <c r="K5" s="6"/>
      <c r="L5" s="6"/>
      <c r="M5" s="2" t="s">
        <v>1970</v>
      </c>
      <c r="N5" s="2" t="s">
        <v>2626</v>
      </c>
      <c r="O5" s="2" t="s">
        <v>880</v>
      </c>
      <c r="P5" s="2" t="s">
        <v>1988</v>
      </c>
      <c r="Q5" s="2" t="s">
        <v>2305</v>
      </c>
      <c r="R5" s="11" t="str">
        <f>HYPERLINK("http://slimages.macys.com/is/image/MCY/11495059 ")</f>
        <v xml:space="preserve">http://slimages.macys.com/is/image/MCY/11495059 </v>
      </c>
    </row>
    <row r="6" spans="1:18" ht="168.75" x14ac:dyDescent="0.25">
      <c r="A6" s="8" t="s">
        <v>1340</v>
      </c>
      <c r="B6" s="2" t="s">
        <v>1341</v>
      </c>
      <c r="C6" s="4">
        <v>1</v>
      </c>
      <c r="D6" s="6">
        <v>81.37</v>
      </c>
      <c r="E6" s="6">
        <v>81.37</v>
      </c>
      <c r="F6" s="9">
        <v>198.99</v>
      </c>
      <c r="G6" s="6">
        <v>198.99</v>
      </c>
      <c r="H6" s="4" t="s">
        <v>1342</v>
      </c>
      <c r="I6" s="2" t="s">
        <v>2244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1989</v>
      </c>
      <c r="R6" s="11" t="str">
        <f>HYPERLINK("http://slimages.macys.com/is/image/MCY/9536375 ")</f>
        <v xml:space="preserve">http://slimages.macys.com/is/image/MCY/9536375 </v>
      </c>
    </row>
    <row r="7" spans="1:18" ht="24.75" x14ac:dyDescent="0.25">
      <c r="A7" s="8" t="s">
        <v>1343</v>
      </c>
      <c r="B7" s="2" t="s">
        <v>1344</v>
      </c>
      <c r="C7" s="4">
        <v>1</v>
      </c>
      <c r="D7" s="6">
        <v>66.599999999999994</v>
      </c>
      <c r="E7" s="6">
        <v>66.599999999999994</v>
      </c>
      <c r="F7" s="9">
        <v>134.99</v>
      </c>
      <c r="G7" s="6">
        <v>134.99</v>
      </c>
      <c r="H7" s="4">
        <v>81053</v>
      </c>
      <c r="I7" s="2" t="s">
        <v>2177</v>
      </c>
      <c r="J7" s="10"/>
      <c r="K7" s="6"/>
      <c r="L7" s="6"/>
      <c r="M7" s="2" t="s">
        <v>1970</v>
      </c>
      <c r="N7" s="2" t="s">
        <v>2005</v>
      </c>
      <c r="O7" s="2" t="s">
        <v>2098</v>
      </c>
      <c r="P7" s="2" t="s">
        <v>1988</v>
      </c>
      <c r="Q7" s="2" t="s">
        <v>1345</v>
      </c>
      <c r="R7" s="11" t="str">
        <f>HYPERLINK("http://slimages.macys.com/is/image/MCY/10055975 ")</f>
        <v xml:space="preserve">http://slimages.macys.com/is/image/MCY/10055975 </v>
      </c>
    </row>
    <row r="8" spans="1:18" ht="120.75" x14ac:dyDescent="0.25">
      <c r="A8" s="8" t="s">
        <v>1346</v>
      </c>
      <c r="B8" s="2" t="s">
        <v>1347</v>
      </c>
      <c r="C8" s="4">
        <v>1</v>
      </c>
      <c r="D8" s="6">
        <v>63.65</v>
      </c>
      <c r="E8" s="6">
        <v>63.65</v>
      </c>
      <c r="F8" s="9">
        <v>154.99</v>
      </c>
      <c r="G8" s="6">
        <v>154.99</v>
      </c>
      <c r="H8" s="4" t="s">
        <v>1348</v>
      </c>
      <c r="I8" s="2"/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1204</v>
      </c>
      <c r="R8" s="11" t="str">
        <f>HYPERLINK("http://slimages.macys.com/is/image/MCY/8932066 ")</f>
        <v xml:space="preserve">http://slimages.macys.com/is/image/MCY/8932066 </v>
      </c>
    </row>
    <row r="9" spans="1:18" ht="60.75" x14ac:dyDescent="0.25">
      <c r="A9" s="8" t="s">
        <v>1349</v>
      </c>
      <c r="B9" s="2" t="s">
        <v>1350</v>
      </c>
      <c r="C9" s="4">
        <v>1</v>
      </c>
      <c r="D9" s="6">
        <v>54.24</v>
      </c>
      <c r="E9" s="6">
        <v>54.24</v>
      </c>
      <c r="F9" s="9">
        <v>149.99</v>
      </c>
      <c r="G9" s="6">
        <v>149.99</v>
      </c>
      <c r="H9" s="4" t="s">
        <v>1351</v>
      </c>
      <c r="I9" s="2" t="s">
        <v>2120</v>
      </c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1352</v>
      </c>
      <c r="R9" s="11" t="str">
        <f>HYPERLINK("http://slimages.macys.com/is/image/MCY/9627753 ")</f>
        <v xml:space="preserve">http://slimages.macys.com/is/image/MCY/9627753 </v>
      </c>
    </row>
    <row r="10" spans="1:18" ht="144.75" x14ac:dyDescent="0.25">
      <c r="A10" s="8" t="s">
        <v>1353</v>
      </c>
      <c r="B10" s="2" t="s">
        <v>1354</v>
      </c>
      <c r="C10" s="4">
        <v>1</v>
      </c>
      <c r="D10" s="6">
        <v>49.72</v>
      </c>
      <c r="E10" s="6">
        <v>49.72</v>
      </c>
      <c r="F10" s="9">
        <v>134.99</v>
      </c>
      <c r="G10" s="6">
        <v>134.99</v>
      </c>
      <c r="H10" s="4" t="s">
        <v>1355</v>
      </c>
      <c r="I10" s="2" t="s">
        <v>2017</v>
      </c>
      <c r="J10" s="10"/>
      <c r="K10" s="6"/>
      <c r="L10" s="6"/>
      <c r="M10" s="2" t="s">
        <v>1970</v>
      </c>
      <c r="N10" s="2" t="s">
        <v>1986</v>
      </c>
      <c r="O10" s="2" t="s">
        <v>1987</v>
      </c>
      <c r="P10" s="2" t="s">
        <v>1988</v>
      </c>
      <c r="Q10" s="2" t="s">
        <v>1356</v>
      </c>
      <c r="R10" s="11" t="str">
        <f>HYPERLINK("http://slimages.macys.com/is/image/MCY/9627876 ")</f>
        <v xml:space="preserve">http://slimages.macys.com/is/image/MCY/9627876 </v>
      </c>
    </row>
    <row r="11" spans="1:18" ht="24.75" x14ac:dyDescent="0.25">
      <c r="A11" s="8" t="s">
        <v>896</v>
      </c>
      <c r="B11" s="2" t="s">
        <v>897</v>
      </c>
      <c r="C11" s="4">
        <v>1</v>
      </c>
      <c r="D11" s="6">
        <v>40.6</v>
      </c>
      <c r="E11" s="6">
        <v>40.6</v>
      </c>
      <c r="F11" s="9">
        <v>119.99</v>
      </c>
      <c r="G11" s="6">
        <v>119.99</v>
      </c>
      <c r="H11" s="4" t="s">
        <v>898</v>
      </c>
      <c r="I11" s="2" t="s">
        <v>2017</v>
      </c>
      <c r="J11" s="10"/>
      <c r="K11" s="6"/>
      <c r="L11" s="6"/>
      <c r="M11" s="2" t="s">
        <v>1970</v>
      </c>
      <c r="N11" s="2" t="s">
        <v>2012</v>
      </c>
      <c r="O11" s="2" t="s">
        <v>2013</v>
      </c>
      <c r="P11" s="2" t="s">
        <v>1988</v>
      </c>
      <c r="Q11" s="2" t="s">
        <v>1995</v>
      </c>
      <c r="R11" s="11" t="str">
        <f>HYPERLINK("http://slimages.macys.com/is/image/MCY/15422791 ")</f>
        <v xml:space="preserve">http://slimages.macys.com/is/image/MCY/15422791 </v>
      </c>
    </row>
    <row r="12" spans="1:18" ht="24.75" x14ac:dyDescent="0.25">
      <c r="A12" s="8" t="s">
        <v>1357</v>
      </c>
      <c r="B12" s="2" t="s">
        <v>1358</v>
      </c>
      <c r="C12" s="4">
        <v>1</v>
      </c>
      <c r="D12" s="6">
        <v>39.69</v>
      </c>
      <c r="E12" s="6">
        <v>39.69</v>
      </c>
      <c r="F12" s="9">
        <v>88.99</v>
      </c>
      <c r="G12" s="6">
        <v>88.99</v>
      </c>
      <c r="H12" s="4" t="s">
        <v>1359</v>
      </c>
      <c r="I12" s="2" t="s">
        <v>2683</v>
      </c>
      <c r="J12" s="10"/>
      <c r="K12" s="6"/>
      <c r="L12" s="6"/>
      <c r="M12" s="2" t="s">
        <v>1970</v>
      </c>
      <c r="N12" s="2" t="s">
        <v>2012</v>
      </c>
      <c r="O12" s="2" t="s">
        <v>1987</v>
      </c>
      <c r="P12" s="2" t="s">
        <v>1988</v>
      </c>
      <c r="Q12" s="2"/>
      <c r="R12" s="11" t="str">
        <f>HYPERLINK("http://slimages.macys.com/is/image/MCY/12291966 ")</f>
        <v xml:space="preserve">http://slimages.macys.com/is/image/MCY/12291966 </v>
      </c>
    </row>
    <row r="13" spans="1:18" ht="60.75" x14ac:dyDescent="0.25">
      <c r="A13" s="8" t="s">
        <v>1360</v>
      </c>
      <c r="B13" s="2" t="s">
        <v>1361</v>
      </c>
      <c r="C13" s="4">
        <v>1</v>
      </c>
      <c r="D13" s="6">
        <v>38.24</v>
      </c>
      <c r="E13" s="6">
        <v>38.24</v>
      </c>
      <c r="F13" s="9">
        <v>93.99</v>
      </c>
      <c r="G13" s="6">
        <v>93.99</v>
      </c>
      <c r="H13" s="4" t="s">
        <v>1362</v>
      </c>
      <c r="I13" s="2" t="s">
        <v>2087</v>
      </c>
      <c r="J13" s="10"/>
      <c r="K13" s="6"/>
      <c r="L13" s="6"/>
      <c r="M13" s="2" t="s">
        <v>1970</v>
      </c>
      <c r="N13" s="2" t="s">
        <v>2012</v>
      </c>
      <c r="O13" s="2" t="s">
        <v>1987</v>
      </c>
      <c r="P13" s="2" t="s">
        <v>1988</v>
      </c>
      <c r="Q13" s="2" t="s">
        <v>2253</v>
      </c>
      <c r="R13" s="11" t="str">
        <f>HYPERLINK("http://slimages.macys.com/is/image/MCY/10028055 ")</f>
        <v xml:space="preserve">http://slimages.macys.com/is/image/MCY/10028055 </v>
      </c>
    </row>
    <row r="14" spans="1:18" ht="24.75" x14ac:dyDescent="0.25">
      <c r="A14" s="8" t="s">
        <v>1363</v>
      </c>
      <c r="B14" s="2" t="s">
        <v>1364</v>
      </c>
      <c r="C14" s="4">
        <v>2</v>
      </c>
      <c r="D14" s="6">
        <v>37.42</v>
      </c>
      <c r="E14" s="6">
        <v>74.84</v>
      </c>
      <c r="F14" s="9">
        <v>99.99</v>
      </c>
      <c r="G14" s="6">
        <v>199.98</v>
      </c>
      <c r="H14" s="4" t="s">
        <v>1365</v>
      </c>
      <c r="I14" s="2" t="s">
        <v>2026</v>
      </c>
      <c r="J14" s="10"/>
      <c r="K14" s="6"/>
      <c r="L14" s="6"/>
      <c r="M14" s="2" t="s">
        <v>1970</v>
      </c>
      <c r="N14" s="2" t="s">
        <v>2295</v>
      </c>
      <c r="O14" s="2" t="s">
        <v>1219</v>
      </c>
      <c r="P14" s="2" t="s">
        <v>1988</v>
      </c>
      <c r="Q14" s="2"/>
      <c r="R14" s="11" t="str">
        <f>HYPERLINK("http://slimages.macys.com/is/image/MCY/8336661 ")</f>
        <v xml:space="preserve">http://slimages.macys.com/is/image/MCY/8336661 </v>
      </c>
    </row>
    <row r="15" spans="1:18" ht="24.75" x14ac:dyDescent="0.25">
      <c r="A15" s="8" t="s">
        <v>1366</v>
      </c>
      <c r="B15" s="2" t="s">
        <v>1367</v>
      </c>
      <c r="C15" s="4">
        <v>1</v>
      </c>
      <c r="D15" s="6">
        <v>27.84</v>
      </c>
      <c r="E15" s="6">
        <v>27.84</v>
      </c>
      <c r="F15" s="9">
        <v>69.989999999999995</v>
      </c>
      <c r="G15" s="6">
        <v>69.989999999999995</v>
      </c>
      <c r="H15" s="4" t="s">
        <v>1368</v>
      </c>
      <c r="I15" s="2" t="s">
        <v>2077</v>
      </c>
      <c r="J15" s="10"/>
      <c r="K15" s="6"/>
      <c r="L15" s="6"/>
      <c r="M15" s="2" t="s">
        <v>1970</v>
      </c>
      <c r="N15" s="2" t="s">
        <v>2012</v>
      </c>
      <c r="O15" s="2" t="s">
        <v>2667</v>
      </c>
      <c r="P15" s="2" t="s">
        <v>1988</v>
      </c>
      <c r="Q15" s="2" t="s">
        <v>1369</v>
      </c>
      <c r="R15" s="11" t="str">
        <f>HYPERLINK("http://slimages.macys.com/is/image/MCY/3147740 ")</f>
        <v xml:space="preserve">http://slimages.macys.com/is/image/MCY/3147740 </v>
      </c>
    </row>
    <row r="16" spans="1:18" ht="24.75" x14ac:dyDescent="0.25">
      <c r="A16" s="8" t="s">
        <v>1370</v>
      </c>
      <c r="B16" s="2" t="s">
        <v>1371</v>
      </c>
      <c r="C16" s="4">
        <v>2</v>
      </c>
      <c r="D16" s="6">
        <v>26.4</v>
      </c>
      <c r="E16" s="6">
        <v>52.8</v>
      </c>
      <c r="F16" s="9">
        <v>59.99</v>
      </c>
      <c r="G16" s="6">
        <v>119.98</v>
      </c>
      <c r="H16" s="4">
        <v>1001280900</v>
      </c>
      <c r="I16" s="2" t="s">
        <v>2120</v>
      </c>
      <c r="J16" s="10"/>
      <c r="K16" s="6"/>
      <c r="L16" s="6"/>
      <c r="M16" s="2" t="s">
        <v>1970</v>
      </c>
      <c r="N16" s="2" t="s">
        <v>2846</v>
      </c>
      <c r="O16" s="2" t="s">
        <v>1165</v>
      </c>
      <c r="P16" s="2" t="s">
        <v>1988</v>
      </c>
      <c r="Q16" s="2"/>
      <c r="R16" s="11" t="str">
        <f>HYPERLINK("http://slimages.macys.com/is/image/MCY/9569285 ")</f>
        <v xml:space="preserve">http://slimages.macys.com/is/image/MCY/9569285 </v>
      </c>
    </row>
    <row r="17" spans="1:18" ht="24.75" x14ac:dyDescent="0.25">
      <c r="A17" s="8" t="s">
        <v>2972</v>
      </c>
      <c r="B17" s="2" t="s">
        <v>2973</v>
      </c>
      <c r="C17" s="4">
        <v>1</v>
      </c>
      <c r="D17" s="6">
        <v>21.04</v>
      </c>
      <c r="E17" s="6">
        <v>21.04</v>
      </c>
      <c r="F17" s="9">
        <v>49.99</v>
      </c>
      <c r="G17" s="6">
        <v>49.99</v>
      </c>
      <c r="H17" s="4">
        <v>20554022</v>
      </c>
      <c r="I17" s="2" t="s">
        <v>2004</v>
      </c>
      <c r="J17" s="10"/>
      <c r="K17" s="6"/>
      <c r="L17" s="6"/>
      <c r="M17" s="2" t="s">
        <v>1970</v>
      </c>
      <c r="N17" s="2" t="s">
        <v>1986</v>
      </c>
      <c r="O17" s="2" t="s">
        <v>2967</v>
      </c>
      <c r="P17" s="2" t="s">
        <v>2933</v>
      </c>
      <c r="Q17" s="2" t="s">
        <v>2968</v>
      </c>
      <c r="R17" s="11" t="str">
        <f>HYPERLINK("http://slimages.macys.com/is/image/MCY/12953897 ")</f>
        <v xml:space="preserve">http://slimages.macys.com/is/image/MCY/12953897 </v>
      </c>
    </row>
    <row r="18" spans="1:18" ht="24.75" x14ac:dyDescent="0.25">
      <c r="A18" s="8" t="s">
        <v>1372</v>
      </c>
      <c r="B18" s="2" t="s">
        <v>1373</v>
      </c>
      <c r="C18" s="4">
        <v>1</v>
      </c>
      <c r="D18" s="6">
        <v>15.58</v>
      </c>
      <c r="E18" s="6">
        <v>15.58</v>
      </c>
      <c r="F18" s="9">
        <v>39.99</v>
      </c>
      <c r="G18" s="6">
        <v>39.99</v>
      </c>
      <c r="H18" s="4" t="s">
        <v>1374</v>
      </c>
      <c r="I18" s="2" t="s">
        <v>2663</v>
      </c>
      <c r="J18" s="10"/>
      <c r="K18" s="6"/>
      <c r="L18" s="6"/>
      <c r="M18" s="2" t="s">
        <v>1970</v>
      </c>
      <c r="N18" s="2" t="s">
        <v>2184</v>
      </c>
      <c r="O18" s="2" t="s">
        <v>1375</v>
      </c>
      <c r="P18" s="2" t="s">
        <v>1988</v>
      </c>
      <c r="Q18" s="2"/>
      <c r="R18" s="11" t="str">
        <f>HYPERLINK("http://slimages.macys.com/is/image/MCY/14401341 ")</f>
        <v xml:space="preserve">http://slimages.macys.com/is/image/MCY/14401341 </v>
      </c>
    </row>
    <row r="19" spans="1:18" ht="24.75" x14ac:dyDescent="0.25">
      <c r="A19" s="8" t="s">
        <v>1376</v>
      </c>
      <c r="B19" s="2" t="s">
        <v>1377</v>
      </c>
      <c r="C19" s="4">
        <v>1</v>
      </c>
      <c r="D19" s="6">
        <v>17.420000000000002</v>
      </c>
      <c r="E19" s="6">
        <v>17.420000000000002</v>
      </c>
      <c r="F19" s="9">
        <v>39.99</v>
      </c>
      <c r="G19" s="6">
        <v>39.99</v>
      </c>
      <c r="H19" s="4" t="s">
        <v>1378</v>
      </c>
      <c r="I19" s="2" t="s">
        <v>1993</v>
      </c>
      <c r="J19" s="10"/>
      <c r="K19" s="6"/>
      <c r="L19" s="6"/>
      <c r="M19" s="2" t="s">
        <v>1970</v>
      </c>
      <c r="N19" s="2" t="s">
        <v>2946</v>
      </c>
      <c r="O19" s="2" t="s">
        <v>2947</v>
      </c>
      <c r="P19" s="2" t="s">
        <v>1988</v>
      </c>
      <c r="Q19" s="2" t="s">
        <v>2305</v>
      </c>
      <c r="R19" s="11" t="str">
        <f>HYPERLINK("http://slimages.macys.com/is/image/MCY/9853603 ")</f>
        <v xml:space="preserve">http://slimages.macys.com/is/image/MCY/9853603 </v>
      </c>
    </row>
    <row r="20" spans="1:18" ht="24.75" x14ac:dyDescent="0.25">
      <c r="A20" s="8" t="s">
        <v>1379</v>
      </c>
      <c r="B20" s="2" t="s">
        <v>1380</v>
      </c>
      <c r="C20" s="4">
        <v>1</v>
      </c>
      <c r="D20" s="6">
        <v>14.75</v>
      </c>
      <c r="E20" s="6">
        <v>14.75</v>
      </c>
      <c r="F20" s="9">
        <v>36.99</v>
      </c>
      <c r="G20" s="6">
        <v>36.99</v>
      </c>
      <c r="H20" s="4" t="s">
        <v>1381</v>
      </c>
      <c r="I20" s="2" t="s">
        <v>2071</v>
      </c>
      <c r="J20" s="10"/>
      <c r="K20" s="6"/>
      <c r="L20" s="6"/>
      <c r="M20" s="2" t="s">
        <v>1970</v>
      </c>
      <c r="N20" s="2" t="s">
        <v>2005</v>
      </c>
      <c r="O20" s="2" t="s">
        <v>2208</v>
      </c>
      <c r="P20" s="2" t="s">
        <v>1988</v>
      </c>
      <c r="Q20" s="2" t="s">
        <v>1995</v>
      </c>
      <c r="R20" s="11" t="str">
        <f>HYPERLINK("http://slimages.macys.com/is/image/MCY/15720052 ")</f>
        <v xml:space="preserve">http://slimages.macys.com/is/image/MCY/15720052 </v>
      </c>
    </row>
    <row r="21" spans="1:18" ht="24.75" x14ac:dyDescent="0.25">
      <c r="A21" s="8" t="s">
        <v>1382</v>
      </c>
      <c r="B21" s="2" t="s">
        <v>1383</v>
      </c>
      <c r="C21" s="4">
        <v>1</v>
      </c>
      <c r="D21" s="6">
        <v>13.72</v>
      </c>
      <c r="E21" s="6">
        <v>13.72</v>
      </c>
      <c r="F21" s="9">
        <v>31.99</v>
      </c>
      <c r="G21" s="6">
        <v>31.99</v>
      </c>
      <c r="H21" s="4" t="s">
        <v>1384</v>
      </c>
      <c r="I21" s="2" t="s">
        <v>2430</v>
      </c>
      <c r="J21" s="10" t="s">
        <v>1385</v>
      </c>
      <c r="K21" s="6"/>
      <c r="L21" s="6"/>
      <c r="M21" s="2" t="s">
        <v>1970</v>
      </c>
      <c r="N21" s="2" t="s">
        <v>2012</v>
      </c>
      <c r="O21" s="2" t="s">
        <v>1386</v>
      </c>
      <c r="P21" s="2" t="s">
        <v>1988</v>
      </c>
      <c r="Q21" s="2" t="s">
        <v>1995</v>
      </c>
      <c r="R21" s="11" t="str">
        <f>HYPERLINK("http://slimages.macys.com/is/image/MCY/1466811 ")</f>
        <v xml:space="preserve">http://slimages.macys.com/is/image/MCY/1466811 </v>
      </c>
    </row>
    <row r="22" spans="1:18" ht="24.75" x14ac:dyDescent="0.25">
      <c r="A22" s="8" t="s">
        <v>1387</v>
      </c>
      <c r="B22" s="2" t="s">
        <v>1388</v>
      </c>
      <c r="C22" s="4">
        <v>4</v>
      </c>
      <c r="D22" s="6">
        <v>13.5</v>
      </c>
      <c r="E22" s="6">
        <v>54</v>
      </c>
      <c r="F22" s="9">
        <v>39.99</v>
      </c>
      <c r="G22" s="6">
        <v>159.96</v>
      </c>
      <c r="H22" s="4" t="s">
        <v>1389</v>
      </c>
      <c r="I22" s="2" t="s">
        <v>2071</v>
      </c>
      <c r="J22" s="10"/>
      <c r="K22" s="6"/>
      <c r="L22" s="6"/>
      <c r="M22" s="2" t="s">
        <v>1970</v>
      </c>
      <c r="N22" s="2" t="s">
        <v>2012</v>
      </c>
      <c r="O22" s="2" t="s">
        <v>2062</v>
      </c>
      <c r="P22" s="2" t="s">
        <v>1988</v>
      </c>
      <c r="Q22" s="2" t="s">
        <v>2095</v>
      </c>
      <c r="R22" s="11" t="str">
        <f>HYPERLINK("http://slimages.macys.com/is/image/MCY/10429929 ")</f>
        <v xml:space="preserve">http://slimages.macys.com/is/image/MCY/10429929 </v>
      </c>
    </row>
    <row r="23" spans="1:18" ht="24.75" x14ac:dyDescent="0.25">
      <c r="A23" s="8" t="s">
        <v>1390</v>
      </c>
      <c r="B23" s="2" t="s">
        <v>1391</v>
      </c>
      <c r="C23" s="4">
        <v>1</v>
      </c>
      <c r="D23" s="6">
        <v>13</v>
      </c>
      <c r="E23" s="6">
        <v>13</v>
      </c>
      <c r="F23" s="9">
        <v>37.99</v>
      </c>
      <c r="G23" s="6">
        <v>37.99</v>
      </c>
      <c r="H23" s="4" t="s">
        <v>1392</v>
      </c>
      <c r="I23" s="2" t="s">
        <v>2283</v>
      </c>
      <c r="J23" s="10"/>
      <c r="K23" s="6"/>
      <c r="L23" s="6"/>
      <c r="M23" s="2" t="s">
        <v>1970</v>
      </c>
      <c r="N23" s="2" t="s">
        <v>2012</v>
      </c>
      <c r="O23" s="2" t="s">
        <v>1393</v>
      </c>
      <c r="P23" s="2" t="s">
        <v>1988</v>
      </c>
      <c r="Q23" s="2" t="s">
        <v>1995</v>
      </c>
      <c r="R23" s="11" t="str">
        <f>HYPERLINK("http://slimages.macys.com/is/image/MCY/15049330 ")</f>
        <v xml:space="preserve">http://slimages.macys.com/is/image/MCY/15049330 </v>
      </c>
    </row>
    <row r="24" spans="1:18" ht="24.75" x14ac:dyDescent="0.25">
      <c r="A24" s="8" t="s">
        <v>1394</v>
      </c>
      <c r="B24" s="2" t="s">
        <v>1395</v>
      </c>
      <c r="C24" s="4">
        <v>3</v>
      </c>
      <c r="D24" s="6">
        <v>10.91</v>
      </c>
      <c r="E24" s="6">
        <v>32.729999999999997</v>
      </c>
      <c r="F24" s="9">
        <v>29.99</v>
      </c>
      <c r="G24" s="6">
        <v>89.97</v>
      </c>
      <c r="H24" s="4" t="s">
        <v>1396</v>
      </c>
      <c r="I24" s="2" t="s">
        <v>2120</v>
      </c>
      <c r="J24" s="10"/>
      <c r="K24" s="6"/>
      <c r="L24" s="6"/>
      <c r="M24" s="2" t="s">
        <v>1970</v>
      </c>
      <c r="N24" s="2" t="s">
        <v>2184</v>
      </c>
      <c r="O24" s="2" t="s">
        <v>1987</v>
      </c>
      <c r="P24" s="2" t="s">
        <v>1988</v>
      </c>
      <c r="Q24" s="2" t="s">
        <v>2185</v>
      </c>
      <c r="R24" s="11" t="str">
        <f>HYPERLINK("http://slimages.macys.com/is/image/MCY/10044169 ")</f>
        <v xml:space="preserve">http://slimages.macys.com/is/image/MCY/10044169 </v>
      </c>
    </row>
    <row r="25" spans="1:18" ht="24.75" x14ac:dyDescent="0.25">
      <c r="A25" s="8" t="s">
        <v>1397</v>
      </c>
      <c r="B25" s="2" t="s">
        <v>1398</v>
      </c>
      <c r="C25" s="4">
        <v>1</v>
      </c>
      <c r="D25" s="6">
        <v>13.26</v>
      </c>
      <c r="E25" s="6">
        <v>13.26</v>
      </c>
      <c r="F25" s="9">
        <v>49.99</v>
      </c>
      <c r="G25" s="6">
        <v>49.99</v>
      </c>
      <c r="H25" s="4" t="s">
        <v>1399</v>
      </c>
      <c r="I25" s="2" t="s">
        <v>2283</v>
      </c>
      <c r="J25" s="10"/>
      <c r="K25" s="6"/>
      <c r="L25" s="6"/>
      <c r="M25" s="2" t="s">
        <v>1970</v>
      </c>
      <c r="N25" s="2" t="s">
        <v>2946</v>
      </c>
      <c r="O25" s="2" t="s">
        <v>2947</v>
      </c>
      <c r="P25" s="2" t="s">
        <v>1988</v>
      </c>
      <c r="Q25" s="2"/>
      <c r="R25" s="11" t="str">
        <f>HYPERLINK("http://slimages.macys.com/is/image/MCY/12354697 ")</f>
        <v xml:space="preserve">http://slimages.macys.com/is/image/MCY/12354697 </v>
      </c>
    </row>
    <row r="26" spans="1:18" ht="24.75" x14ac:dyDescent="0.25">
      <c r="A26" s="8" t="s">
        <v>1400</v>
      </c>
      <c r="B26" s="2" t="s">
        <v>1401</v>
      </c>
      <c r="C26" s="4">
        <v>1</v>
      </c>
      <c r="D26" s="6">
        <v>11.16</v>
      </c>
      <c r="E26" s="6">
        <v>11.16</v>
      </c>
      <c r="F26" s="9">
        <v>24.99</v>
      </c>
      <c r="G26" s="6">
        <v>24.99</v>
      </c>
      <c r="H26" s="4" t="s">
        <v>1402</v>
      </c>
      <c r="I26" s="2" t="s">
        <v>1993</v>
      </c>
      <c r="J26" s="10"/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/>
      <c r="R26" s="11" t="str">
        <f>HYPERLINK("http://slimages.macys.com/is/image/MCY/10010840 ")</f>
        <v xml:space="preserve">http://slimages.macys.com/is/image/MCY/10010840 </v>
      </c>
    </row>
    <row r="27" spans="1:18" ht="24.75" x14ac:dyDescent="0.25">
      <c r="A27" s="8" t="s">
        <v>1403</v>
      </c>
      <c r="B27" s="2" t="s">
        <v>1404</v>
      </c>
      <c r="C27" s="4">
        <v>1</v>
      </c>
      <c r="D27" s="6">
        <v>11</v>
      </c>
      <c r="E27" s="6">
        <v>11</v>
      </c>
      <c r="F27" s="9">
        <v>24.99</v>
      </c>
      <c r="G27" s="6">
        <v>24.99</v>
      </c>
      <c r="H27" s="4" t="s">
        <v>1405</v>
      </c>
      <c r="I27" s="2" t="s">
        <v>2177</v>
      </c>
      <c r="J27" s="10"/>
      <c r="K27" s="6"/>
      <c r="L27" s="6"/>
      <c r="M27" s="2" t="s">
        <v>1970</v>
      </c>
      <c r="N27" s="2" t="s">
        <v>2012</v>
      </c>
      <c r="O27" s="2" t="s">
        <v>1406</v>
      </c>
      <c r="P27" s="2" t="s">
        <v>1988</v>
      </c>
      <c r="Q27" s="2"/>
      <c r="R27" s="11" t="str">
        <f>HYPERLINK("http://slimages.macys.com/is/image/MCY/8754625 ")</f>
        <v xml:space="preserve">http://slimages.macys.com/is/image/MCY/8754625 </v>
      </c>
    </row>
    <row r="28" spans="1:18" ht="24.75" x14ac:dyDescent="0.25">
      <c r="A28" s="8" t="s">
        <v>832</v>
      </c>
      <c r="B28" s="2" t="s">
        <v>833</v>
      </c>
      <c r="C28" s="4">
        <v>1</v>
      </c>
      <c r="D28" s="6">
        <v>12.33</v>
      </c>
      <c r="E28" s="6">
        <v>12.33</v>
      </c>
      <c r="F28" s="9">
        <v>29.99</v>
      </c>
      <c r="G28" s="6">
        <v>29.99</v>
      </c>
      <c r="H28" s="4" t="s">
        <v>834</v>
      </c>
      <c r="I28" s="2"/>
      <c r="J28" s="10"/>
      <c r="K28" s="6"/>
      <c r="L28" s="6"/>
      <c r="M28" s="2" t="s">
        <v>1970</v>
      </c>
      <c r="N28" s="2" t="s">
        <v>1986</v>
      </c>
      <c r="O28" s="2" t="s">
        <v>1994</v>
      </c>
      <c r="P28" s="2" t="s">
        <v>1988</v>
      </c>
      <c r="Q28" s="2" t="s">
        <v>1995</v>
      </c>
      <c r="R28" s="11" t="str">
        <f>HYPERLINK("http://slimages.macys.com/is/image/MCY/16344436 ")</f>
        <v xml:space="preserve">http://slimages.macys.com/is/image/MCY/16344436 </v>
      </c>
    </row>
    <row r="29" spans="1:18" ht="24.75" x14ac:dyDescent="0.25">
      <c r="A29" s="8" t="s">
        <v>1407</v>
      </c>
      <c r="B29" s="2" t="s">
        <v>1408</v>
      </c>
      <c r="C29" s="4">
        <v>1</v>
      </c>
      <c r="D29" s="6">
        <v>12.1</v>
      </c>
      <c r="E29" s="6">
        <v>12.1</v>
      </c>
      <c r="F29" s="9">
        <v>39.99</v>
      </c>
      <c r="G29" s="6">
        <v>39.99</v>
      </c>
      <c r="H29" s="4" t="s">
        <v>1409</v>
      </c>
      <c r="I29" s="2" t="s">
        <v>2683</v>
      </c>
      <c r="J29" s="10"/>
      <c r="K29" s="6"/>
      <c r="L29" s="6"/>
      <c r="M29" s="2" t="s">
        <v>1970</v>
      </c>
      <c r="N29" s="2" t="s">
        <v>2167</v>
      </c>
      <c r="O29" s="2" t="s">
        <v>2443</v>
      </c>
      <c r="P29" s="2" t="s">
        <v>1988</v>
      </c>
      <c r="Q29" s="2" t="s">
        <v>1237</v>
      </c>
      <c r="R29" s="11" t="str">
        <f>HYPERLINK("http://slimages.macys.com/is/image/MCY/2519117 ")</f>
        <v xml:space="preserve">http://slimages.macys.com/is/image/MCY/2519117 </v>
      </c>
    </row>
    <row r="30" spans="1:18" ht="24.75" x14ac:dyDescent="0.25">
      <c r="A30" s="8" t="s">
        <v>1410</v>
      </c>
      <c r="B30" s="2" t="s">
        <v>1388</v>
      </c>
      <c r="C30" s="4">
        <v>6</v>
      </c>
      <c r="D30" s="6">
        <v>9.84</v>
      </c>
      <c r="E30" s="6">
        <v>59.04</v>
      </c>
      <c r="F30" s="9">
        <v>34.99</v>
      </c>
      <c r="G30" s="6">
        <v>209.94</v>
      </c>
      <c r="H30" s="4" t="s">
        <v>1411</v>
      </c>
      <c r="I30" s="2" t="s">
        <v>2071</v>
      </c>
      <c r="J30" s="10"/>
      <c r="K30" s="6"/>
      <c r="L30" s="6"/>
      <c r="M30" s="2" t="s">
        <v>1970</v>
      </c>
      <c r="N30" s="2" t="s">
        <v>2012</v>
      </c>
      <c r="O30" s="2" t="s">
        <v>2062</v>
      </c>
      <c r="P30" s="2" t="s">
        <v>1988</v>
      </c>
      <c r="Q30" s="2" t="s">
        <v>2095</v>
      </c>
      <c r="R30" s="11" t="str">
        <f>HYPERLINK("http://slimages.macys.com/is/image/MCY/10429933 ")</f>
        <v xml:space="preserve">http://slimages.macys.com/is/image/MCY/10429933 </v>
      </c>
    </row>
    <row r="31" spans="1:18" ht="24.75" x14ac:dyDescent="0.25">
      <c r="A31" s="8" t="s">
        <v>1412</v>
      </c>
      <c r="B31" s="2" t="s">
        <v>1413</v>
      </c>
      <c r="C31" s="4">
        <v>1</v>
      </c>
      <c r="D31" s="6">
        <v>11.04</v>
      </c>
      <c r="E31" s="6">
        <v>11.04</v>
      </c>
      <c r="F31" s="9">
        <v>49.99</v>
      </c>
      <c r="G31" s="6">
        <v>49.99</v>
      </c>
      <c r="H31" s="4" t="s">
        <v>1414</v>
      </c>
      <c r="I31" s="2" t="s">
        <v>2120</v>
      </c>
      <c r="J31" s="10"/>
      <c r="K31" s="6"/>
      <c r="L31" s="6"/>
      <c r="M31" s="2" t="s">
        <v>1970</v>
      </c>
      <c r="N31" s="2" t="s">
        <v>2946</v>
      </c>
      <c r="O31" s="2" t="s">
        <v>2947</v>
      </c>
      <c r="P31" s="2" t="s">
        <v>1988</v>
      </c>
      <c r="Q31" s="2" t="s">
        <v>1255</v>
      </c>
      <c r="R31" s="11" t="str">
        <f>HYPERLINK("http://slimages.macys.com/is/image/MCY/11640333 ")</f>
        <v xml:space="preserve">http://slimages.macys.com/is/image/MCY/11640333 </v>
      </c>
    </row>
    <row r="32" spans="1:18" ht="24.75" x14ac:dyDescent="0.25">
      <c r="A32" s="8" t="s">
        <v>1415</v>
      </c>
      <c r="B32" s="2" t="s">
        <v>1416</v>
      </c>
      <c r="C32" s="4">
        <v>1</v>
      </c>
      <c r="D32" s="6">
        <v>9.2200000000000006</v>
      </c>
      <c r="E32" s="6">
        <v>9.2200000000000006</v>
      </c>
      <c r="F32" s="9">
        <v>19.989999999999998</v>
      </c>
      <c r="G32" s="6">
        <v>19.989999999999998</v>
      </c>
      <c r="H32" s="4">
        <v>79314</v>
      </c>
      <c r="I32" s="2" t="s">
        <v>2021</v>
      </c>
      <c r="J32" s="10" t="s">
        <v>2072</v>
      </c>
      <c r="K32" s="6"/>
      <c r="L32" s="6"/>
      <c r="M32" s="2" t="s">
        <v>1970</v>
      </c>
      <c r="N32" s="2" t="s">
        <v>2012</v>
      </c>
      <c r="O32" s="2" t="s">
        <v>1999</v>
      </c>
      <c r="P32" s="2" t="s">
        <v>1988</v>
      </c>
      <c r="Q32" s="2" t="s">
        <v>1417</v>
      </c>
      <c r="R32" s="11" t="str">
        <f>HYPERLINK("http://slimages.macys.com/is/image/MCY/9577474 ")</f>
        <v xml:space="preserve">http://slimages.macys.com/is/image/MCY/9577474 </v>
      </c>
    </row>
    <row r="33" spans="1:18" ht="24.75" x14ac:dyDescent="0.25">
      <c r="A33" s="8" t="s">
        <v>1418</v>
      </c>
      <c r="B33" s="2" t="s">
        <v>1419</v>
      </c>
      <c r="C33" s="4">
        <v>4</v>
      </c>
      <c r="D33" s="6">
        <v>9</v>
      </c>
      <c r="E33" s="6">
        <v>36</v>
      </c>
      <c r="F33" s="9">
        <v>17.989999999999998</v>
      </c>
      <c r="G33" s="6">
        <v>71.959999999999994</v>
      </c>
      <c r="H33" s="4" t="s">
        <v>1420</v>
      </c>
      <c r="I33" s="2" t="s">
        <v>1421</v>
      </c>
      <c r="J33" s="10"/>
      <c r="K33" s="6"/>
      <c r="L33" s="6"/>
      <c r="M33" s="2" t="s">
        <v>1970</v>
      </c>
      <c r="N33" s="2" t="s">
        <v>2012</v>
      </c>
      <c r="O33" s="2" t="s">
        <v>2203</v>
      </c>
      <c r="P33" s="2" t="s">
        <v>1988</v>
      </c>
      <c r="Q33" s="2" t="s">
        <v>1995</v>
      </c>
      <c r="R33" s="11" t="str">
        <f>HYPERLINK("http://slimages.macys.com/is/image/MCY/8759583 ")</f>
        <v xml:space="preserve">http://slimages.macys.com/is/image/MCY/8759583 </v>
      </c>
    </row>
    <row r="34" spans="1:18" ht="36.75" x14ac:dyDescent="0.25">
      <c r="A34" s="8" t="s">
        <v>1422</v>
      </c>
      <c r="B34" s="2" t="s">
        <v>1423</v>
      </c>
      <c r="C34" s="4">
        <v>1</v>
      </c>
      <c r="D34" s="6">
        <v>10.029999999999999</v>
      </c>
      <c r="E34" s="6">
        <v>10.029999999999999</v>
      </c>
      <c r="F34" s="9">
        <v>24.99</v>
      </c>
      <c r="G34" s="6">
        <v>24.99</v>
      </c>
      <c r="H34" s="4" t="s">
        <v>1424</v>
      </c>
      <c r="I34" s="2" t="s">
        <v>2026</v>
      </c>
      <c r="J34" s="10" t="s">
        <v>2497</v>
      </c>
      <c r="K34" s="6"/>
      <c r="L34" s="6"/>
      <c r="M34" s="2" t="s">
        <v>1970</v>
      </c>
      <c r="N34" s="2" t="s">
        <v>991</v>
      </c>
      <c r="O34" s="2" t="s">
        <v>1425</v>
      </c>
      <c r="P34" s="2" t="s">
        <v>2335</v>
      </c>
      <c r="Q34" s="2" t="s">
        <v>1426</v>
      </c>
      <c r="R34" s="11" t="str">
        <f>HYPERLINK("http://slimages.macys.com/is/image/MCY/2992875 ")</f>
        <v xml:space="preserve">http://slimages.macys.com/is/image/MCY/2992875 </v>
      </c>
    </row>
    <row r="35" spans="1:18" ht="24.75" x14ac:dyDescent="0.25">
      <c r="A35" s="8" t="s">
        <v>1427</v>
      </c>
      <c r="B35" s="2" t="s">
        <v>1428</v>
      </c>
      <c r="C35" s="4">
        <v>1</v>
      </c>
      <c r="D35" s="6">
        <v>8.09</v>
      </c>
      <c r="E35" s="6">
        <v>8.09</v>
      </c>
      <c r="F35" s="9">
        <v>39.99</v>
      </c>
      <c r="G35" s="6">
        <v>39.99</v>
      </c>
      <c r="H35" s="4" t="s">
        <v>1429</v>
      </c>
      <c r="I35" s="2" t="s">
        <v>2442</v>
      </c>
      <c r="J35" s="10"/>
      <c r="K35" s="6"/>
      <c r="L35" s="6"/>
      <c r="M35" s="2" t="s">
        <v>1970</v>
      </c>
      <c r="N35" s="2" t="s">
        <v>2167</v>
      </c>
      <c r="O35" s="2" t="s">
        <v>2443</v>
      </c>
      <c r="P35" s="2" t="s">
        <v>1988</v>
      </c>
      <c r="Q35" s="2"/>
      <c r="R35" s="11" t="str">
        <f>HYPERLINK("http://slimages.macys.com/is/image/MCY/8447369 ")</f>
        <v xml:space="preserve">http://slimages.macys.com/is/image/MCY/8447369 </v>
      </c>
    </row>
    <row r="36" spans="1:18" ht="24.75" x14ac:dyDescent="0.25">
      <c r="A36" s="8" t="s">
        <v>1430</v>
      </c>
      <c r="B36" s="2" t="s">
        <v>1431</v>
      </c>
      <c r="C36" s="4">
        <v>4</v>
      </c>
      <c r="D36" s="6">
        <v>5.67</v>
      </c>
      <c r="E36" s="6">
        <v>22.68</v>
      </c>
      <c r="F36" s="9">
        <v>16.989999999999998</v>
      </c>
      <c r="G36" s="6">
        <v>67.959999999999994</v>
      </c>
      <c r="H36" s="4" t="s">
        <v>1432</v>
      </c>
      <c r="I36" s="2" t="s">
        <v>2200</v>
      </c>
      <c r="J36" s="10"/>
      <c r="K36" s="6"/>
      <c r="L36" s="6"/>
      <c r="M36" s="2" t="s">
        <v>1970</v>
      </c>
      <c r="N36" s="2" t="s">
        <v>2012</v>
      </c>
      <c r="O36" s="2" t="s">
        <v>2088</v>
      </c>
      <c r="P36" s="2" t="s">
        <v>1988</v>
      </c>
      <c r="Q36" s="2" t="s">
        <v>1995</v>
      </c>
      <c r="R36" s="11" t="str">
        <f>HYPERLINK("http://slimages.macys.com/is/image/MCY/935272 ")</f>
        <v xml:space="preserve">http://slimages.macys.com/is/image/MCY/935272 </v>
      </c>
    </row>
    <row r="37" spans="1:18" ht="24.75" x14ac:dyDescent="0.25">
      <c r="A37" s="8" t="s">
        <v>1433</v>
      </c>
      <c r="B37" s="2" t="s">
        <v>1434</v>
      </c>
      <c r="C37" s="4">
        <v>2</v>
      </c>
      <c r="D37" s="6">
        <v>20</v>
      </c>
      <c r="E37" s="6">
        <v>40</v>
      </c>
      <c r="F37" s="9">
        <v>44.99</v>
      </c>
      <c r="G37" s="6">
        <v>89.98</v>
      </c>
      <c r="H37" s="4" t="s">
        <v>1435</v>
      </c>
      <c r="I37" s="2"/>
      <c r="J37" s="10"/>
      <c r="K37" s="6"/>
      <c r="L37" s="6"/>
      <c r="M37" s="2" t="s">
        <v>1970</v>
      </c>
      <c r="N37" s="2" t="s">
        <v>1986</v>
      </c>
      <c r="O37" s="2" t="s">
        <v>919</v>
      </c>
      <c r="P37" s="2"/>
      <c r="Q37" s="2"/>
      <c r="R37" s="11"/>
    </row>
    <row r="38" spans="1:18" ht="24.75" x14ac:dyDescent="0.25">
      <c r="A38" s="8" t="s">
        <v>1436</v>
      </c>
      <c r="B38" s="2" t="s">
        <v>1437</v>
      </c>
      <c r="C38" s="4">
        <v>3</v>
      </c>
      <c r="D38" s="6">
        <v>20</v>
      </c>
      <c r="E38" s="6">
        <v>60</v>
      </c>
      <c r="F38" s="9">
        <v>44.99</v>
      </c>
      <c r="G38" s="6">
        <v>134.97</v>
      </c>
      <c r="H38" s="4" t="s">
        <v>1438</v>
      </c>
      <c r="I38" s="2"/>
      <c r="J38" s="10"/>
      <c r="K38" s="6"/>
      <c r="L38" s="6"/>
      <c r="M38" s="2" t="s">
        <v>1970</v>
      </c>
      <c r="N38" s="2" t="s">
        <v>1986</v>
      </c>
      <c r="O38" s="2" t="s">
        <v>919</v>
      </c>
      <c r="P38" s="2"/>
      <c r="Q38" s="2"/>
      <c r="R38" s="11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5"/>
  <sheetViews>
    <sheetView topLeftCell="A34" workbookViewId="0">
      <selection activeCell="C67" sqref="C67"/>
    </sheetView>
  </sheetViews>
  <sheetFormatPr defaultRowHeight="15" x14ac:dyDescent="0.25"/>
  <cols>
    <col min="1" max="1" width="14.28515625" customWidth="1"/>
    <col min="2" max="2" width="48.570312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5.425781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60.75" x14ac:dyDescent="0.25">
      <c r="A2" s="8" t="s">
        <v>963</v>
      </c>
      <c r="B2" s="2" t="s">
        <v>1193</v>
      </c>
      <c r="C2" s="4">
        <v>1</v>
      </c>
      <c r="D2" s="6">
        <v>125.05</v>
      </c>
      <c r="E2" s="6">
        <v>125.05</v>
      </c>
      <c r="F2" s="9">
        <v>312.99</v>
      </c>
      <c r="G2" s="6">
        <v>312.99</v>
      </c>
      <c r="H2" s="4" t="s">
        <v>965</v>
      </c>
      <c r="I2" s="2" t="s">
        <v>2026</v>
      </c>
      <c r="J2" s="10"/>
      <c r="K2" s="6"/>
      <c r="L2" s="6"/>
      <c r="M2" s="2" t="s">
        <v>1970</v>
      </c>
      <c r="N2" s="2" t="s">
        <v>2005</v>
      </c>
      <c r="O2" s="2" t="s">
        <v>2038</v>
      </c>
      <c r="P2" s="2" t="s">
        <v>1988</v>
      </c>
      <c r="Q2" s="2" t="s">
        <v>966</v>
      </c>
      <c r="R2" s="11" t="str">
        <f>HYPERLINK("http://slimages.macys.com/is/image/MCY/11798874 ")</f>
        <v xml:space="preserve">http://slimages.macys.com/is/image/MCY/11798874 </v>
      </c>
    </row>
    <row r="3" spans="1:18" ht="24.75" x14ac:dyDescent="0.25">
      <c r="A3" s="8" t="s">
        <v>1194</v>
      </c>
      <c r="B3" s="2" t="s">
        <v>1195</v>
      </c>
      <c r="C3" s="4">
        <v>1</v>
      </c>
      <c r="D3" s="6">
        <v>112</v>
      </c>
      <c r="E3" s="6">
        <v>112</v>
      </c>
      <c r="F3" s="9">
        <v>329.99</v>
      </c>
      <c r="G3" s="6">
        <v>329.99</v>
      </c>
      <c r="H3" s="4" t="s">
        <v>1196</v>
      </c>
      <c r="I3" s="2" t="s">
        <v>2031</v>
      </c>
      <c r="J3" s="10"/>
      <c r="K3" s="6"/>
      <c r="L3" s="6"/>
      <c r="M3" s="2" t="s">
        <v>1970</v>
      </c>
      <c r="N3" s="2" t="s">
        <v>1986</v>
      </c>
      <c r="O3" s="2" t="s">
        <v>2013</v>
      </c>
      <c r="P3" s="2" t="s">
        <v>1988</v>
      </c>
      <c r="Q3" s="2" t="s">
        <v>1995</v>
      </c>
      <c r="R3" s="11" t="str">
        <f>HYPERLINK("http://slimages.macys.com/is/image/MCY/13299843 ")</f>
        <v xml:space="preserve">http://slimages.macys.com/is/image/MCY/13299843 </v>
      </c>
    </row>
    <row r="4" spans="1:18" ht="168.75" x14ac:dyDescent="0.25">
      <c r="A4" s="8" t="s">
        <v>1197</v>
      </c>
      <c r="B4" s="2" t="s">
        <v>1198</v>
      </c>
      <c r="C4" s="4">
        <v>1</v>
      </c>
      <c r="D4" s="6">
        <v>81.37</v>
      </c>
      <c r="E4" s="6">
        <v>81.37</v>
      </c>
      <c r="F4" s="9">
        <v>219.99</v>
      </c>
      <c r="G4" s="6">
        <v>219.99</v>
      </c>
      <c r="H4" s="4" t="s">
        <v>1199</v>
      </c>
      <c r="I4" s="2" t="s">
        <v>2189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1200</v>
      </c>
      <c r="R4" s="11" t="str">
        <f>HYPERLINK("http://slimages.macys.com/is/image/MCY/9536261 ")</f>
        <v xml:space="preserve">http://slimages.macys.com/is/image/MCY/9536261 </v>
      </c>
    </row>
    <row r="5" spans="1:18" ht="120.75" x14ac:dyDescent="0.25">
      <c r="A5" s="8" t="s">
        <v>1201</v>
      </c>
      <c r="B5" s="2" t="s">
        <v>1202</v>
      </c>
      <c r="C5" s="4">
        <v>1</v>
      </c>
      <c r="D5" s="6">
        <v>63.65</v>
      </c>
      <c r="E5" s="6">
        <v>63.65</v>
      </c>
      <c r="F5" s="9">
        <v>154.99</v>
      </c>
      <c r="G5" s="6">
        <v>154.99</v>
      </c>
      <c r="H5" s="4" t="s">
        <v>1203</v>
      </c>
      <c r="I5" s="2" t="s">
        <v>2017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1204</v>
      </c>
      <c r="R5" s="11" t="str">
        <f>HYPERLINK("http://slimages.macys.com/is/image/MCY/8932066 ")</f>
        <v xml:space="preserve">http://slimages.macys.com/is/image/MCY/8932066 </v>
      </c>
    </row>
    <row r="6" spans="1:18" ht="24.75" x14ac:dyDescent="0.25">
      <c r="A6" s="8" t="s">
        <v>1205</v>
      </c>
      <c r="B6" s="2" t="s">
        <v>1206</v>
      </c>
      <c r="C6" s="4">
        <v>1</v>
      </c>
      <c r="D6" s="6">
        <v>47.06</v>
      </c>
      <c r="E6" s="6">
        <v>47.06</v>
      </c>
      <c r="F6" s="9">
        <v>137.99</v>
      </c>
      <c r="G6" s="6">
        <v>137.99</v>
      </c>
      <c r="H6" s="4" t="s">
        <v>1207</v>
      </c>
      <c r="I6" s="2" t="s">
        <v>2252</v>
      </c>
      <c r="J6" s="10"/>
      <c r="K6" s="6"/>
      <c r="L6" s="6"/>
      <c r="M6" s="2" t="s">
        <v>1970</v>
      </c>
      <c r="N6" s="2" t="s">
        <v>1986</v>
      </c>
      <c r="O6" s="2" t="s">
        <v>1208</v>
      </c>
      <c r="P6" s="2" t="s">
        <v>1988</v>
      </c>
      <c r="Q6" s="2" t="s">
        <v>1995</v>
      </c>
      <c r="R6" s="11" t="str">
        <f>HYPERLINK("http://slimages.macys.com/is/image/MCY/10008216 ")</f>
        <v xml:space="preserve">http://slimages.macys.com/is/image/MCY/10008216 </v>
      </c>
    </row>
    <row r="7" spans="1:18" ht="48.75" x14ac:dyDescent="0.25">
      <c r="A7" s="8" t="s">
        <v>1209</v>
      </c>
      <c r="B7" s="2" t="s">
        <v>1210</v>
      </c>
      <c r="C7" s="4">
        <v>1</v>
      </c>
      <c r="D7" s="6">
        <v>46.5</v>
      </c>
      <c r="E7" s="6">
        <v>46.5</v>
      </c>
      <c r="F7" s="9">
        <v>99.99</v>
      </c>
      <c r="G7" s="6">
        <v>99.99</v>
      </c>
      <c r="H7" s="4" t="s">
        <v>1211</v>
      </c>
      <c r="I7" s="2" t="s">
        <v>2017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1212</v>
      </c>
      <c r="R7" s="11" t="str">
        <f>HYPERLINK("http://slimages.macys.com/is/image/MCY/10073912 ")</f>
        <v xml:space="preserve">http://slimages.macys.com/is/image/MCY/10073912 </v>
      </c>
    </row>
    <row r="8" spans="1:18" ht="24.75" x14ac:dyDescent="0.25">
      <c r="A8" s="8" t="s">
        <v>1213</v>
      </c>
      <c r="B8" s="2" t="s">
        <v>1214</v>
      </c>
      <c r="C8" s="4">
        <v>1</v>
      </c>
      <c r="D8" s="6">
        <v>45.11</v>
      </c>
      <c r="E8" s="6">
        <v>45.11</v>
      </c>
      <c r="F8" s="9">
        <v>106.99</v>
      </c>
      <c r="G8" s="6">
        <v>106.99</v>
      </c>
      <c r="H8" s="4" t="s">
        <v>1215</v>
      </c>
      <c r="I8" s="2" t="s">
        <v>2077</v>
      </c>
      <c r="J8" s="10" t="s">
        <v>2107</v>
      </c>
      <c r="K8" s="6"/>
      <c r="L8" s="6"/>
      <c r="M8" s="2" t="s">
        <v>1970</v>
      </c>
      <c r="N8" s="2" t="s">
        <v>1986</v>
      </c>
      <c r="O8" s="2" t="s">
        <v>2233</v>
      </c>
      <c r="P8" s="2" t="s">
        <v>1988</v>
      </c>
      <c r="Q8" s="2" t="s">
        <v>2063</v>
      </c>
      <c r="R8" s="11" t="str">
        <f>HYPERLINK("http://slimages.macys.com/is/image/MCY/11504257 ")</f>
        <v xml:space="preserve">http://slimages.macys.com/is/image/MCY/11504257 </v>
      </c>
    </row>
    <row r="9" spans="1:18" ht="24.75" x14ac:dyDescent="0.25">
      <c r="A9" s="8" t="s">
        <v>1216</v>
      </c>
      <c r="B9" s="2" t="s">
        <v>1217</v>
      </c>
      <c r="C9" s="4">
        <v>1</v>
      </c>
      <c r="D9" s="6">
        <v>45</v>
      </c>
      <c r="E9" s="6">
        <v>45</v>
      </c>
      <c r="F9" s="9">
        <v>89.99</v>
      </c>
      <c r="G9" s="6">
        <v>89.99</v>
      </c>
      <c r="H9" s="4" t="s">
        <v>1218</v>
      </c>
      <c r="I9" s="2" t="s">
        <v>2430</v>
      </c>
      <c r="J9" s="10"/>
      <c r="K9" s="6"/>
      <c r="L9" s="6"/>
      <c r="M9" s="2" t="s">
        <v>1970</v>
      </c>
      <c r="N9" s="2" t="s">
        <v>2295</v>
      </c>
      <c r="O9" s="2" t="s">
        <v>1219</v>
      </c>
      <c r="P9" s="2" t="s">
        <v>1988</v>
      </c>
      <c r="Q9" s="2"/>
      <c r="R9" s="11" t="str">
        <f>HYPERLINK("http://slimages.macys.com/is/image/MCY/8822275 ")</f>
        <v xml:space="preserve">http://slimages.macys.com/is/image/MCY/8822275 </v>
      </c>
    </row>
    <row r="10" spans="1:18" ht="24.75" x14ac:dyDescent="0.25">
      <c r="A10" s="8" t="s">
        <v>1220</v>
      </c>
      <c r="B10" s="2" t="s">
        <v>1221</v>
      </c>
      <c r="C10" s="4">
        <v>1</v>
      </c>
      <c r="D10" s="6">
        <v>32.08</v>
      </c>
      <c r="E10" s="6">
        <v>32.08</v>
      </c>
      <c r="F10" s="9">
        <v>69.989999999999995</v>
      </c>
      <c r="G10" s="6">
        <v>69.989999999999995</v>
      </c>
      <c r="H10" s="4" t="s">
        <v>1222</v>
      </c>
      <c r="I10" s="2" t="s">
        <v>2026</v>
      </c>
      <c r="J10" s="10" t="s">
        <v>2107</v>
      </c>
      <c r="K10" s="6"/>
      <c r="L10" s="6"/>
      <c r="M10" s="2" t="s">
        <v>1970</v>
      </c>
      <c r="N10" s="2" t="s">
        <v>2005</v>
      </c>
      <c r="O10" s="2" t="s">
        <v>1223</v>
      </c>
      <c r="P10" s="2" t="s">
        <v>1988</v>
      </c>
      <c r="Q10" s="2" t="s">
        <v>2305</v>
      </c>
      <c r="R10" s="11" t="str">
        <f>HYPERLINK("http://slimages.macys.com/is/image/MCY/10975248 ")</f>
        <v xml:space="preserve">http://slimages.macys.com/is/image/MCY/10975248 </v>
      </c>
    </row>
    <row r="11" spans="1:18" ht="36.75" x14ac:dyDescent="0.25">
      <c r="A11" s="8" t="s">
        <v>1224</v>
      </c>
      <c r="B11" s="2" t="s">
        <v>1225</v>
      </c>
      <c r="C11" s="4">
        <v>1</v>
      </c>
      <c r="D11" s="6">
        <v>36</v>
      </c>
      <c r="E11" s="6">
        <v>36</v>
      </c>
      <c r="F11" s="9">
        <v>79.989999999999995</v>
      </c>
      <c r="G11" s="6">
        <v>79.989999999999995</v>
      </c>
      <c r="H11" s="4">
        <v>600657415002</v>
      </c>
      <c r="I11" s="2" t="s">
        <v>2120</v>
      </c>
      <c r="J11" s="10" t="s">
        <v>2072</v>
      </c>
      <c r="K11" s="6"/>
      <c r="L11" s="6"/>
      <c r="M11" s="2" t="s">
        <v>1970</v>
      </c>
      <c r="N11" s="2" t="s">
        <v>1226</v>
      </c>
      <c r="O11" s="2" t="s">
        <v>2351</v>
      </c>
      <c r="P11" s="2" t="s">
        <v>1988</v>
      </c>
      <c r="Q11" s="2" t="s">
        <v>1227</v>
      </c>
      <c r="R11" s="11" t="str">
        <f>HYPERLINK("http://slimages.macys.com/is/image/MCY/8618626 ")</f>
        <v xml:space="preserve">http://slimages.macys.com/is/image/MCY/8618626 </v>
      </c>
    </row>
    <row r="12" spans="1:18" ht="84.75" x14ac:dyDescent="0.25">
      <c r="A12" s="8" t="s">
        <v>1228</v>
      </c>
      <c r="B12" s="2" t="s">
        <v>1229</v>
      </c>
      <c r="C12" s="4">
        <v>1</v>
      </c>
      <c r="D12" s="6">
        <v>32.14</v>
      </c>
      <c r="E12" s="6">
        <v>32.14</v>
      </c>
      <c r="F12" s="9">
        <v>84.99</v>
      </c>
      <c r="G12" s="6">
        <v>84.99</v>
      </c>
      <c r="H12" s="4" t="s">
        <v>1230</v>
      </c>
      <c r="I12" s="2" t="s">
        <v>2004</v>
      </c>
      <c r="J12" s="10"/>
      <c r="K12" s="6"/>
      <c r="L12" s="6"/>
      <c r="M12" s="2" t="s">
        <v>1970</v>
      </c>
      <c r="N12" s="2" t="s">
        <v>1986</v>
      </c>
      <c r="O12" s="2" t="s">
        <v>1987</v>
      </c>
      <c r="P12" s="2" t="s">
        <v>1988</v>
      </c>
      <c r="Q12" s="2" t="s">
        <v>1231</v>
      </c>
      <c r="R12" s="11" t="str">
        <f>HYPERLINK("http://slimages.macys.com/is/image/MCY/9484029 ")</f>
        <v xml:space="preserve">http://slimages.macys.com/is/image/MCY/9484029 </v>
      </c>
    </row>
    <row r="13" spans="1:18" ht="24.75" x14ac:dyDescent="0.25">
      <c r="A13" s="8" t="s">
        <v>1232</v>
      </c>
      <c r="B13" s="2" t="s">
        <v>1233</v>
      </c>
      <c r="C13" s="4">
        <v>1</v>
      </c>
      <c r="D13" s="6">
        <v>31.52</v>
      </c>
      <c r="E13" s="6">
        <v>31.52</v>
      </c>
      <c r="F13" s="9">
        <v>109.99</v>
      </c>
      <c r="G13" s="6">
        <v>109.99</v>
      </c>
      <c r="H13" s="4" t="s">
        <v>1234</v>
      </c>
      <c r="I13" s="2" t="s">
        <v>2571</v>
      </c>
      <c r="J13" s="10"/>
      <c r="K13" s="6"/>
      <c r="L13" s="6"/>
      <c r="M13" s="2" t="s">
        <v>2343</v>
      </c>
      <c r="N13" s="2" t="s">
        <v>2295</v>
      </c>
      <c r="O13" s="2" t="s">
        <v>1235</v>
      </c>
      <c r="P13" s="2" t="s">
        <v>1236</v>
      </c>
      <c r="Q13" s="2" t="s">
        <v>1237</v>
      </c>
      <c r="R13" s="11" t="str">
        <f>HYPERLINK("http://images.bloomingdales.com/is/image/BLM/10158454 ")</f>
        <v xml:space="preserve">http://images.bloomingdales.com/is/image/BLM/10158454 </v>
      </c>
    </row>
    <row r="14" spans="1:18" ht="48.75" x14ac:dyDescent="0.25">
      <c r="A14" s="8" t="s">
        <v>2771</v>
      </c>
      <c r="B14" s="2" t="s">
        <v>2772</v>
      </c>
      <c r="C14" s="4">
        <v>1</v>
      </c>
      <c r="D14" s="6">
        <v>24.75</v>
      </c>
      <c r="E14" s="6">
        <v>24.75</v>
      </c>
      <c r="F14" s="9">
        <v>64.989999999999995</v>
      </c>
      <c r="G14" s="6">
        <v>64.989999999999995</v>
      </c>
      <c r="H14" s="4">
        <v>80703</v>
      </c>
      <c r="I14" s="2" t="s">
        <v>2026</v>
      </c>
      <c r="J14" s="10"/>
      <c r="K14" s="6"/>
      <c r="L14" s="6"/>
      <c r="M14" s="2" t="s">
        <v>1970</v>
      </c>
      <c r="N14" s="2" t="s">
        <v>2005</v>
      </c>
      <c r="O14" s="2" t="s">
        <v>2098</v>
      </c>
      <c r="P14" s="2" t="s">
        <v>1988</v>
      </c>
      <c r="Q14" s="2" t="s">
        <v>2773</v>
      </c>
      <c r="R14" s="11" t="str">
        <f>HYPERLINK("http://slimages.macys.com/is/image/MCY/13586102 ")</f>
        <v xml:space="preserve">http://slimages.macys.com/is/image/MCY/13586102 </v>
      </c>
    </row>
    <row r="15" spans="1:18" ht="24.75" x14ac:dyDescent="0.25">
      <c r="A15" s="8" t="s">
        <v>1238</v>
      </c>
      <c r="B15" s="2" t="s">
        <v>1239</v>
      </c>
      <c r="C15" s="4">
        <v>1</v>
      </c>
      <c r="D15" s="6">
        <v>27.1</v>
      </c>
      <c r="E15" s="6">
        <v>27.1</v>
      </c>
      <c r="F15" s="9">
        <v>71.989999999999995</v>
      </c>
      <c r="G15" s="6">
        <v>71.989999999999995</v>
      </c>
      <c r="H15" s="4" t="s">
        <v>1240</v>
      </c>
      <c r="I15" s="2" t="s">
        <v>1241</v>
      </c>
      <c r="J15" s="10"/>
      <c r="K15" s="6"/>
      <c r="L15" s="6"/>
      <c r="M15" s="2" t="s">
        <v>1970</v>
      </c>
      <c r="N15" s="2" t="s">
        <v>1986</v>
      </c>
      <c r="O15" s="2" t="s">
        <v>1242</v>
      </c>
      <c r="P15" s="2" t="s">
        <v>1988</v>
      </c>
      <c r="Q15" s="2" t="s">
        <v>1995</v>
      </c>
      <c r="R15" s="11" t="str">
        <f>HYPERLINK("http://slimages.macys.com/is/image/MCY/12281500 ")</f>
        <v xml:space="preserve">http://slimages.macys.com/is/image/MCY/12281500 </v>
      </c>
    </row>
    <row r="16" spans="1:18" ht="24.75" x14ac:dyDescent="0.25">
      <c r="A16" s="8" t="s">
        <v>1243</v>
      </c>
      <c r="B16" s="2" t="s">
        <v>1244</v>
      </c>
      <c r="C16" s="4">
        <v>1</v>
      </c>
      <c r="D16" s="6">
        <v>24.39</v>
      </c>
      <c r="E16" s="6">
        <v>24.39</v>
      </c>
      <c r="F16" s="9">
        <v>66.989999999999995</v>
      </c>
      <c r="G16" s="6">
        <v>66.989999999999995</v>
      </c>
      <c r="H16" s="4" t="s">
        <v>1245</v>
      </c>
      <c r="I16" s="2" t="s">
        <v>2048</v>
      </c>
      <c r="J16" s="10"/>
      <c r="K16" s="6"/>
      <c r="L16" s="6"/>
      <c r="M16" s="2" t="s">
        <v>1970</v>
      </c>
      <c r="N16" s="2" t="s">
        <v>1986</v>
      </c>
      <c r="O16" s="2" t="s">
        <v>1994</v>
      </c>
      <c r="P16" s="2" t="s">
        <v>1988</v>
      </c>
      <c r="Q16" s="2" t="s">
        <v>1995</v>
      </c>
      <c r="R16" s="11" t="str">
        <f>HYPERLINK("http://slimages.macys.com/is/image/MCY/10005647 ")</f>
        <v xml:space="preserve">http://slimages.macys.com/is/image/MCY/10005647 </v>
      </c>
    </row>
    <row r="17" spans="1:18" ht="24.75" x14ac:dyDescent="0.25">
      <c r="A17" s="8" t="s">
        <v>1246</v>
      </c>
      <c r="B17" s="2" t="s">
        <v>1247</v>
      </c>
      <c r="C17" s="4">
        <v>1</v>
      </c>
      <c r="D17" s="6">
        <v>23.78</v>
      </c>
      <c r="E17" s="6">
        <v>23.78</v>
      </c>
      <c r="F17" s="9">
        <v>49.99</v>
      </c>
      <c r="G17" s="6">
        <v>49.99</v>
      </c>
      <c r="H17" s="4" t="s">
        <v>1248</v>
      </c>
      <c r="I17" s="2" t="s">
        <v>2071</v>
      </c>
      <c r="J17" s="10"/>
      <c r="K17" s="6"/>
      <c r="L17" s="6"/>
      <c r="M17" s="2" t="s">
        <v>1970</v>
      </c>
      <c r="N17" s="2" t="s">
        <v>2295</v>
      </c>
      <c r="O17" s="2" t="s">
        <v>2296</v>
      </c>
      <c r="P17" s="2" t="s">
        <v>1988</v>
      </c>
      <c r="Q17" s="2"/>
      <c r="R17" s="11" t="str">
        <f>HYPERLINK("http://slimages.macys.com/is/image/MCY/9843498 ")</f>
        <v xml:space="preserve">http://slimages.macys.com/is/image/MCY/9843498 </v>
      </c>
    </row>
    <row r="18" spans="1:18" ht="24.75" x14ac:dyDescent="0.25">
      <c r="A18" s="8" t="s">
        <v>1249</v>
      </c>
      <c r="B18" s="2" t="s">
        <v>1250</v>
      </c>
      <c r="C18" s="4">
        <v>1</v>
      </c>
      <c r="D18" s="6">
        <v>23</v>
      </c>
      <c r="E18" s="6">
        <v>23</v>
      </c>
      <c r="F18" s="9">
        <v>49.99</v>
      </c>
      <c r="G18" s="6">
        <v>49.99</v>
      </c>
      <c r="H18" s="4" t="s">
        <v>1251</v>
      </c>
      <c r="I18" s="2" t="s">
        <v>2026</v>
      </c>
      <c r="J18" s="10"/>
      <c r="K18" s="6"/>
      <c r="L18" s="6"/>
      <c r="M18" s="2" t="s">
        <v>1970</v>
      </c>
      <c r="N18" s="2" t="s">
        <v>2626</v>
      </c>
      <c r="O18" s="2" t="s">
        <v>1053</v>
      </c>
      <c r="P18" s="2" t="s">
        <v>1988</v>
      </c>
      <c r="Q18" s="2" t="s">
        <v>2063</v>
      </c>
      <c r="R18" s="11" t="str">
        <f>HYPERLINK("http://slimages.macys.com/is/image/MCY/11110163 ")</f>
        <v xml:space="preserve">http://slimages.macys.com/is/image/MCY/11110163 </v>
      </c>
    </row>
    <row r="19" spans="1:18" ht="24.75" x14ac:dyDescent="0.25">
      <c r="A19" s="8" t="s">
        <v>1252</v>
      </c>
      <c r="B19" s="2" t="s">
        <v>1253</v>
      </c>
      <c r="C19" s="4">
        <v>1</v>
      </c>
      <c r="D19" s="6">
        <v>22.16</v>
      </c>
      <c r="E19" s="6">
        <v>22.16</v>
      </c>
      <c r="F19" s="9">
        <v>49.99</v>
      </c>
      <c r="G19" s="6">
        <v>49.99</v>
      </c>
      <c r="H19" s="4" t="s">
        <v>1254</v>
      </c>
      <c r="I19" s="2" t="s">
        <v>2087</v>
      </c>
      <c r="J19" s="10"/>
      <c r="K19" s="6"/>
      <c r="L19" s="6"/>
      <c r="M19" s="2" t="s">
        <v>1970</v>
      </c>
      <c r="N19" s="2" t="s">
        <v>2709</v>
      </c>
      <c r="O19" s="2" t="s">
        <v>874</v>
      </c>
      <c r="P19" s="2" t="s">
        <v>1988</v>
      </c>
      <c r="Q19" s="2" t="s">
        <v>1255</v>
      </c>
      <c r="R19" s="11" t="str">
        <f>HYPERLINK("http://slimages.macys.com/is/image/MCY/9322265 ")</f>
        <v xml:space="preserve">http://slimages.macys.com/is/image/MCY/9322265 </v>
      </c>
    </row>
    <row r="20" spans="1:18" ht="24.75" x14ac:dyDescent="0.25">
      <c r="A20" s="8" t="s">
        <v>1256</v>
      </c>
      <c r="B20" s="2" t="s">
        <v>1257</v>
      </c>
      <c r="C20" s="4">
        <v>1</v>
      </c>
      <c r="D20" s="6">
        <v>18.71</v>
      </c>
      <c r="E20" s="6">
        <v>18.71</v>
      </c>
      <c r="F20" s="9">
        <v>46.99</v>
      </c>
      <c r="G20" s="6">
        <v>46.99</v>
      </c>
      <c r="H20" s="4" t="s">
        <v>1258</v>
      </c>
      <c r="I20" s="2" t="s">
        <v>1993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1995</v>
      </c>
      <c r="R20" s="11" t="str">
        <f>HYPERLINK("http://slimages.macys.com/is/image/MCY/9192778 ")</f>
        <v xml:space="preserve">http://slimages.macys.com/is/image/MCY/9192778 </v>
      </c>
    </row>
    <row r="21" spans="1:18" ht="24.75" x14ac:dyDescent="0.25">
      <c r="A21" s="8" t="s">
        <v>1259</v>
      </c>
      <c r="B21" s="2" t="s">
        <v>1260</v>
      </c>
      <c r="C21" s="4">
        <v>1</v>
      </c>
      <c r="D21" s="6">
        <v>18.71</v>
      </c>
      <c r="E21" s="6">
        <v>18.71</v>
      </c>
      <c r="F21" s="9">
        <v>46.99</v>
      </c>
      <c r="G21" s="6">
        <v>46.99</v>
      </c>
      <c r="H21" s="4" t="s">
        <v>1261</v>
      </c>
      <c r="I21" s="2" t="s">
        <v>2026</v>
      </c>
      <c r="J21" s="10"/>
      <c r="K21" s="6"/>
      <c r="L21" s="6"/>
      <c r="M21" s="2" t="s">
        <v>1970</v>
      </c>
      <c r="N21" s="2" t="s">
        <v>2012</v>
      </c>
      <c r="O21" s="2" t="s">
        <v>1987</v>
      </c>
      <c r="P21" s="2" t="s">
        <v>1988</v>
      </c>
      <c r="Q21" s="2" t="s">
        <v>1995</v>
      </c>
      <c r="R21" s="11" t="str">
        <f>HYPERLINK("http://slimages.macys.com/is/image/MCY/9192778 ")</f>
        <v xml:space="preserve">http://slimages.macys.com/is/image/MCY/9192778 </v>
      </c>
    </row>
    <row r="22" spans="1:18" ht="24.75" x14ac:dyDescent="0.25">
      <c r="A22" s="8" t="s">
        <v>1262</v>
      </c>
      <c r="B22" s="2" t="s">
        <v>1263</v>
      </c>
      <c r="C22" s="4">
        <v>1</v>
      </c>
      <c r="D22" s="6">
        <v>16.37</v>
      </c>
      <c r="E22" s="6">
        <v>16.37</v>
      </c>
      <c r="F22" s="9">
        <v>40.99</v>
      </c>
      <c r="G22" s="6">
        <v>40.99</v>
      </c>
      <c r="H22" s="4" t="s">
        <v>1264</v>
      </c>
      <c r="I22" s="2" t="s">
        <v>2026</v>
      </c>
      <c r="J22" s="10"/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/>
      <c r="R22" s="11" t="str">
        <f>HYPERLINK("http://slimages.macys.com/is/image/MCY/9192504 ")</f>
        <v xml:space="preserve">http://slimages.macys.com/is/image/MCY/9192504 </v>
      </c>
    </row>
    <row r="23" spans="1:18" ht="24.75" x14ac:dyDescent="0.25">
      <c r="A23" s="8" t="s">
        <v>1265</v>
      </c>
      <c r="B23" s="2" t="s">
        <v>1266</v>
      </c>
      <c r="C23" s="4">
        <v>1</v>
      </c>
      <c r="D23" s="6">
        <v>18.52</v>
      </c>
      <c r="E23" s="6">
        <v>18.52</v>
      </c>
      <c r="F23" s="9">
        <v>49.99</v>
      </c>
      <c r="G23" s="6">
        <v>49.99</v>
      </c>
      <c r="H23" s="4">
        <v>21452022</v>
      </c>
      <c r="I23" s="2" t="s">
        <v>1993</v>
      </c>
      <c r="J23" s="10"/>
      <c r="K23" s="6"/>
      <c r="L23" s="6"/>
      <c r="M23" s="2" t="s">
        <v>1970</v>
      </c>
      <c r="N23" s="2" t="s">
        <v>1986</v>
      </c>
      <c r="O23" s="2" t="s">
        <v>2967</v>
      </c>
      <c r="P23" s="2" t="s">
        <v>1988</v>
      </c>
      <c r="Q23" s="2" t="s">
        <v>2063</v>
      </c>
      <c r="R23" s="11" t="str">
        <f>HYPERLINK("http://slimages.macys.com/is/image/MCY/14633940 ")</f>
        <v xml:space="preserve">http://slimages.macys.com/is/image/MCY/14633940 </v>
      </c>
    </row>
    <row r="24" spans="1:18" ht="24.75" x14ac:dyDescent="0.25">
      <c r="A24" s="8" t="s">
        <v>1267</v>
      </c>
      <c r="B24" s="2" t="s">
        <v>1268</v>
      </c>
      <c r="C24" s="4">
        <v>1</v>
      </c>
      <c r="D24" s="6">
        <v>15.59</v>
      </c>
      <c r="E24" s="6">
        <v>15.59</v>
      </c>
      <c r="F24" s="9">
        <v>38.99</v>
      </c>
      <c r="G24" s="6">
        <v>38.99</v>
      </c>
      <c r="H24" s="4" t="s">
        <v>1269</v>
      </c>
      <c r="I24" s="2" t="s">
        <v>2017</v>
      </c>
      <c r="J24" s="10"/>
      <c r="K24" s="6"/>
      <c r="L24" s="6"/>
      <c r="M24" s="2" t="s">
        <v>1970</v>
      </c>
      <c r="N24" s="2" t="s">
        <v>2012</v>
      </c>
      <c r="O24" s="2" t="s">
        <v>1987</v>
      </c>
      <c r="P24" s="2" t="s">
        <v>1988</v>
      </c>
      <c r="Q24" s="2" t="s">
        <v>1995</v>
      </c>
      <c r="R24" s="11" t="str">
        <f>HYPERLINK("http://slimages.macys.com/is/image/MCY/8216566 ")</f>
        <v xml:space="preserve">http://slimages.macys.com/is/image/MCY/8216566 </v>
      </c>
    </row>
    <row r="25" spans="1:18" ht="24.75" x14ac:dyDescent="0.25">
      <c r="A25" s="8" t="s">
        <v>1270</v>
      </c>
      <c r="B25" s="2" t="s">
        <v>1271</v>
      </c>
      <c r="C25" s="4">
        <v>2</v>
      </c>
      <c r="D25" s="6">
        <v>14.03</v>
      </c>
      <c r="E25" s="6">
        <v>28.06</v>
      </c>
      <c r="F25" s="9">
        <v>34.99</v>
      </c>
      <c r="G25" s="6">
        <v>69.98</v>
      </c>
      <c r="H25" s="4" t="s">
        <v>1272</v>
      </c>
      <c r="I25" s="2" t="s">
        <v>1993</v>
      </c>
      <c r="J25" s="10"/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2968</v>
      </c>
      <c r="R25" s="11" t="str">
        <f>HYPERLINK("http://slimages.macys.com/is/image/MCY/9192776 ")</f>
        <v xml:space="preserve">http://slimages.macys.com/is/image/MCY/9192776 </v>
      </c>
    </row>
    <row r="26" spans="1:18" ht="24.75" x14ac:dyDescent="0.25">
      <c r="A26" s="8" t="s">
        <v>1273</v>
      </c>
      <c r="B26" s="2" t="s">
        <v>1274</v>
      </c>
      <c r="C26" s="4">
        <v>4</v>
      </c>
      <c r="D26" s="6">
        <v>13.99</v>
      </c>
      <c r="E26" s="6">
        <v>55.96</v>
      </c>
      <c r="F26" s="9">
        <v>34.99</v>
      </c>
      <c r="G26" s="6">
        <v>139.96</v>
      </c>
      <c r="H26" s="4" t="s">
        <v>1275</v>
      </c>
      <c r="I26" s="2"/>
      <c r="J26" s="10"/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1276</v>
      </c>
      <c r="R26" s="11" t="str">
        <f>HYPERLINK("http://slimages.macys.com/is/image/MCY/10112147 ")</f>
        <v xml:space="preserve">http://slimages.macys.com/is/image/MCY/10112147 </v>
      </c>
    </row>
    <row r="27" spans="1:18" ht="24.75" x14ac:dyDescent="0.25">
      <c r="A27" s="8" t="s">
        <v>1277</v>
      </c>
      <c r="B27" s="2" t="s">
        <v>1278</v>
      </c>
      <c r="C27" s="4">
        <v>1</v>
      </c>
      <c r="D27" s="6">
        <v>13.8</v>
      </c>
      <c r="E27" s="6">
        <v>13.8</v>
      </c>
      <c r="F27" s="9">
        <v>29.99</v>
      </c>
      <c r="G27" s="6">
        <v>29.99</v>
      </c>
      <c r="H27" s="4" t="s">
        <v>1279</v>
      </c>
      <c r="I27" s="2" t="s">
        <v>2430</v>
      </c>
      <c r="J27" s="10" t="s">
        <v>2431</v>
      </c>
      <c r="K27" s="6"/>
      <c r="L27" s="6"/>
      <c r="M27" s="2" t="s">
        <v>1970</v>
      </c>
      <c r="N27" s="2" t="s">
        <v>2012</v>
      </c>
      <c r="O27" s="2" t="s">
        <v>2448</v>
      </c>
      <c r="P27" s="2" t="s">
        <v>1988</v>
      </c>
      <c r="Q27" s="2"/>
      <c r="R27" s="11" t="str">
        <f>HYPERLINK("http://slimages.macys.com/is/image/MCY/13701052 ")</f>
        <v xml:space="preserve">http://slimages.macys.com/is/image/MCY/13701052 </v>
      </c>
    </row>
    <row r="28" spans="1:18" ht="24.75" x14ac:dyDescent="0.25">
      <c r="A28" s="8" t="s">
        <v>1280</v>
      </c>
      <c r="B28" s="2" t="s">
        <v>1281</v>
      </c>
      <c r="C28" s="4">
        <v>1</v>
      </c>
      <c r="D28" s="6">
        <v>15.62</v>
      </c>
      <c r="E28" s="6">
        <v>15.62</v>
      </c>
      <c r="F28" s="9">
        <v>39.99</v>
      </c>
      <c r="G28" s="6">
        <v>39.99</v>
      </c>
      <c r="H28" s="4">
        <v>100048756</v>
      </c>
      <c r="I28" s="2" t="s">
        <v>2017</v>
      </c>
      <c r="J28" s="10" t="s">
        <v>1282</v>
      </c>
      <c r="K28" s="6"/>
      <c r="L28" s="6"/>
      <c r="M28" s="2" t="s">
        <v>1970</v>
      </c>
      <c r="N28" s="2" t="s">
        <v>2295</v>
      </c>
      <c r="O28" s="2" t="s">
        <v>2296</v>
      </c>
      <c r="P28" s="2" t="s">
        <v>1988</v>
      </c>
      <c r="Q28" s="2"/>
      <c r="R28" s="11" t="str">
        <f>HYPERLINK("http://slimages.macys.com/is/image/MCY/11320914 ")</f>
        <v xml:space="preserve">http://slimages.macys.com/is/image/MCY/11320914 </v>
      </c>
    </row>
    <row r="29" spans="1:18" ht="24.75" x14ac:dyDescent="0.25">
      <c r="A29" s="8" t="s">
        <v>1283</v>
      </c>
      <c r="B29" s="2" t="s">
        <v>1284</v>
      </c>
      <c r="C29" s="4">
        <v>1</v>
      </c>
      <c r="D29" s="6">
        <v>15.59</v>
      </c>
      <c r="E29" s="6">
        <v>15.59</v>
      </c>
      <c r="F29" s="9">
        <v>39.99</v>
      </c>
      <c r="G29" s="6">
        <v>39.99</v>
      </c>
      <c r="H29" s="4">
        <v>100041324</v>
      </c>
      <c r="I29" s="2" t="s">
        <v>2026</v>
      </c>
      <c r="J29" s="10" t="s">
        <v>2425</v>
      </c>
      <c r="K29" s="6"/>
      <c r="L29" s="6"/>
      <c r="M29" s="2" t="s">
        <v>1970</v>
      </c>
      <c r="N29" s="2" t="s">
        <v>2295</v>
      </c>
      <c r="O29" s="2" t="s">
        <v>2296</v>
      </c>
      <c r="P29" s="2"/>
      <c r="Q29" s="2"/>
      <c r="R29" s="11" t="str">
        <f>HYPERLINK("http://slimages.macys.com/is/image/MCY/11011077 ")</f>
        <v xml:space="preserve">http://slimages.macys.com/is/image/MCY/11011077 </v>
      </c>
    </row>
    <row r="30" spans="1:18" ht="24.75" x14ac:dyDescent="0.25">
      <c r="A30" s="8" t="s">
        <v>1285</v>
      </c>
      <c r="B30" s="2" t="s">
        <v>1286</v>
      </c>
      <c r="C30" s="4">
        <v>1</v>
      </c>
      <c r="D30" s="6">
        <v>15.19</v>
      </c>
      <c r="E30" s="6">
        <v>15.19</v>
      </c>
      <c r="F30" s="9">
        <v>37.99</v>
      </c>
      <c r="G30" s="6">
        <v>37.99</v>
      </c>
      <c r="H30" s="4" t="s">
        <v>1287</v>
      </c>
      <c r="I30" s="2" t="s">
        <v>1993</v>
      </c>
      <c r="J30" s="10"/>
      <c r="K30" s="6"/>
      <c r="L30" s="6"/>
      <c r="M30" s="2" t="s">
        <v>1970</v>
      </c>
      <c r="N30" s="2" t="s">
        <v>1986</v>
      </c>
      <c r="O30" s="2" t="s">
        <v>1987</v>
      </c>
      <c r="P30" s="2" t="s">
        <v>1988</v>
      </c>
      <c r="Q30" s="2" t="s">
        <v>1288</v>
      </c>
      <c r="R30" s="11" t="str">
        <f>HYPERLINK("http://slimages.macys.com/is/image/MCY/9767721 ")</f>
        <v xml:space="preserve">http://slimages.macys.com/is/image/MCY/9767721 </v>
      </c>
    </row>
    <row r="31" spans="1:18" ht="24.75" x14ac:dyDescent="0.25">
      <c r="A31" s="8" t="s">
        <v>1289</v>
      </c>
      <c r="B31" s="2" t="s">
        <v>1290</v>
      </c>
      <c r="C31" s="4">
        <v>2</v>
      </c>
      <c r="D31" s="6">
        <v>12.5</v>
      </c>
      <c r="E31" s="6">
        <v>25</v>
      </c>
      <c r="F31" s="9">
        <v>29.99</v>
      </c>
      <c r="G31" s="6">
        <v>59.98</v>
      </c>
      <c r="H31" s="4" t="s">
        <v>1291</v>
      </c>
      <c r="I31" s="2" t="s">
        <v>1993</v>
      </c>
      <c r="J31" s="10"/>
      <c r="K31" s="6"/>
      <c r="L31" s="6"/>
      <c r="M31" s="2" t="s">
        <v>1970</v>
      </c>
      <c r="N31" s="2" t="s">
        <v>2012</v>
      </c>
      <c r="O31" s="2" t="s">
        <v>2448</v>
      </c>
      <c r="P31" s="2" t="s">
        <v>1988</v>
      </c>
      <c r="Q31" s="2"/>
      <c r="R31" s="11" t="str">
        <f>HYPERLINK("http://slimages.macys.com/is/image/MCY/11926874 ")</f>
        <v xml:space="preserve">http://slimages.macys.com/is/image/MCY/11926874 </v>
      </c>
    </row>
    <row r="32" spans="1:18" ht="60.75" x14ac:dyDescent="0.25">
      <c r="A32" s="8" t="s">
        <v>1292</v>
      </c>
      <c r="B32" s="2" t="s">
        <v>1293</v>
      </c>
      <c r="C32" s="4">
        <v>1</v>
      </c>
      <c r="D32" s="6">
        <v>14.23</v>
      </c>
      <c r="E32" s="6">
        <v>14.23</v>
      </c>
      <c r="F32" s="9">
        <v>38.99</v>
      </c>
      <c r="G32" s="6">
        <v>38.99</v>
      </c>
      <c r="H32" s="4" t="s">
        <v>1294</v>
      </c>
      <c r="I32" s="2" t="s">
        <v>1993</v>
      </c>
      <c r="J32" s="10" t="s">
        <v>1175</v>
      </c>
      <c r="K32" s="6"/>
      <c r="L32" s="6"/>
      <c r="M32" s="2" t="s">
        <v>1970</v>
      </c>
      <c r="N32" s="2" t="s">
        <v>1986</v>
      </c>
      <c r="O32" s="2" t="s">
        <v>1994</v>
      </c>
      <c r="P32" s="2" t="s">
        <v>1988</v>
      </c>
      <c r="Q32" s="2" t="s">
        <v>1295</v>
      </c>
      <c r="R32" s="11" t="str">
        <f>HYPERLINK("http://slimages.macys.com/is/image/MCY/10005714 ")</f>
        <v xml:space="preserve">http://slimages.macys.com/is/image/MCY/10005714 </v>
      </c>
    </row>
    <row r="33" spans="1:18" ht="24.75" x14ac:dyDescent="0.25">
      <c r="A33" s="8" t="s">
        <v>1296</v>
      </c>
      <c r="B33" s="2" t="s">
        <v>1297</v>
      </c>
      <c r="C33" s="4">
        <v>3</v>
      </c>
      <c r="D33" s="6">
        <v>12</v>
      </c>
      <c r="E33" s="6">
        <v>36</v>
      </c>
      <c r="F33" s="9">
        <v>24.99</v>
      </c>
      <c r="G33" s="6">
        <v>74.97</v>
      </c>
      <c r="H33" s="4" t="s">
        <v>1298</v>
      </c>
      <c r="I33" s="2"/>
      <c r="J33" s="10"/>
      <c r="K33" s="6"/>
      <c r="L33" s="6"/>
      <c r="M33" s="2" t="s">
        <v>1970</v>
      </c>
      <c r="N33" s="2" t="s">
        <v>2012</v>
      </c>
      <c r="O33" s="2" t="s">
        <v>2448</v>
      </c>
      <c r="P33" s="2" t="s">
        <v>1988</v>
      </c>
      <c r="Q33" s="2" t="s">
        <v>1255</v>
      </c>
      <c r="R33" s="11" t="str">
        <f>HYPERLINK("http://slimages.macys.com/is/image/MCY/11926882 ")</f>
        <v xml:space="preserve">http://slimages.macys.com/is/image/MCY/11926882 </v>
      </c>
    </row>
    <row r="34" spans="1:18" ht="36.75" x14ac:dyDescent="0.25">
      <c r="A34" s="8" t="s">
        <v>1299</v>
      </c>
      <c r="B34" s="2" t="s">
        <v>1300</v>
      </c>
      <c r="C34" s="4">
        <v>1</v>
      </c>
      <c r="D34" s="6">
        <v>13.8</v>
      </c>
      <c r="E34" s="6">
        <v>13.8</v>
      </c>
      <c r="F34" s="9">
        <v>39.99</v>
      </c>
      <c r="G34" s="6">
        <v>39.99</v>
      </c>
      <c r="H34" s="4">
        <v>130113</v>
      </c>
      <c r="I34" s="2" t="s">
        <v>2021</v>
      </c>
      <c r="J34" s="10"/>
      <c r="K34" s="6"/>
      <c r="L34" s="6"/>
      <c r="M34" s="2" t="s">
        <v>1970</v>
      </c>
      <c r="N34" s="2" t="s">
        <v>2027</v>
      </c>
      <c r="O34" s="2" t="s">
        <v>1000</v>
      </c>
      <c r="P34" s="2" t="s">
        <v>1988</v>
      </c>
      <c r="Q34" s="2" t="s">
        <v>1301</v>
      </c>
      <c r="R34" s="11" t="str">
        <f>HYPERLINK("http://slimages.macys.com/is/image/MCY/3895749 ")</f>
        <v xml:space="preserve">http://slimages.macys.com/is/image/MCY/3895749 </v>
      </c>
    </row>
    <row r="35" spans="1:18" ht="36.75" x14ac:dyDescent="0.25">
      <c r="A35" s="8" t="s">
        <v>1302</v>
      </c>
      <c r="B35" s="2" t="s">
        <v>1303</v>
      </c>
      <c r="C35" s="4">
        <v>1</v>
      </c>
      <c r="D35" s="6">
        <v>13.8</v>
      </c>
      <c r="E35" s="6">
        <v>13.8</v>
      </c>
      <c r="F35" s="9">
        <v>39.99</v>
      </c>
      <c r="G35" s="6">
        <v>39.99</v>
      </c>
      <c r="H35" s="4">
        <v>130103</v>
      </c>
      <c r="I35" s="2" t="s">
        <v>2683</v>
      </c>
      <c r="J35" s="10"/>
      <c r="K35" s="6"/>
      <c r="L35" s="6"/>
      <c r="M35" s="2" t="s">
        <v>1970</v>
      </c>
      <c r="N35" s="2" t="s">
        <v>2027</v>
      </c>
      <c r="O35" s="2" t="s">
        <v>1000</v>
      </c>
      <c r="P35" s="2" t="s">
        <v>1988</v>
      </c>
      <c r="Q35" s="2" t="s">
        <v>1301</v>
      </c>
      <c r="R35" s="11" t="str">
        <f>HYPERLINK("http://slimages.macys.com/is/image/MCY/3895749 ")</f>
        <v xml:space="preserve">http://slimages.macys.com/is/image/MCY/3895749 </v>
      </c>
    </row>
    <row r="36" spans="1:18" ht="24.75" x14ac:dyDescent="0.25">
      <c r="A36" s="8" t="s">
        <v>1304</v>
      </c>
      <c r="B36" s="2" t="s">
        <v>1305</v>
      </c>
      <c r="C36" s="4">
        <v>2</v>
      </c>
      <c r="D36" s="6">
        <v>11.5</v>
      </c>
      <c r="E36" s="6">
        <v>23</v>
      </c>
      <c r="F36" s="9">
        <v>24.99</v>
      </c>
      <c r="G36" s="6">
        <v>49.98</v>
      </c>
      <c r="H36" s="4" t="s">
        <v>1306</v>
      </c>
      <c r="I36" s="2"/>
      <c r="J36" s="10"/>
      <c r="K36" s="6"/>
      <c r="L36" s="6"/>
      <c r="M36" s="2" t="s">
        <v>1970</v>
      </c>
      <c r="N36" s="2" t="s">
        <v>2012</v>
      </c>
      <c r="O36" s="2" t="s">
        <v>2448</v>
      </c>
      <c r="P36" s="2" t="s">
        <v>1988</v>
      </c>
      <c r="Q36" s="2"/>
      <c r="R36" s="11" t="str">
        <f>HYPERLINK("http://slimages.macys.com/is/image/MCY/11926789 ")</f>
        <v xml:space="preserve">http://slimages.macys.com/is/image/MCY/11926789 </v>
      </c>
    </row>
    <row r="37" spans="1:18" ht="24.75" x14ac:dyDescent="0.25">
      <c r="A37" s="8" t="s">
        <v>1307</v>
      </c>
      <c r="B37" s="2" t="s">
        <v>1308</v>
      </c>
      <c r="C37" s="4">
        <v>5</v>
      </c>
      <c r="D37" s="6">
        <v>11.5</v>
      </c>
      <c r="E37" s="6">
        <v>57.5</v>
      </c>
      <c r="F37" s="9">
        <v>24.99</v>
      </c>
      <c r="G37" s="6">
        <v>124.95</v>
      </c>
      <c r="H37" s="4" t="s">
        <v>1309</v>
      </c>
      <c r="I37" s="2" t="s">
        <v>1310</v>
      </c>
      <c r="J37" s="10"/>
      <c r="K37" s="6"/>
      <c r="L37" s="6"/>
      <c r="M37" s="2" t="s">
        <v>1970</v>
      </c>
      <c r="N37" s="2" t="s">
        <v>2012</v>
      </c>
      <c r="O37" s="2" t="s">
        <v>2448</v>
      </c>
      <c r="P37" s="2" t="s">
        <v>1988</v>
      </c>
      <c r="Q37" s="2" t="s">
        <v>1311</v>
      </c>
      <c r="R37" s="11" t="str">
        <f>HYPERLINK("http://slimages.macys.com/is/image/MCY/9743732 ")</f>
        <v xml:space="preserve">http://slimages.macys.com/is/image/MCY/9743732 </v>
      </c>
    </row>
    <row r="38" spans="1:18" ht="24.75" x14ac:dyDescent="0.25">
      <c r="A38" s="8" t="s">
        <v>1312</v>
      </c>
      <c r="B38" s="2" t="s">
        <v>1313</v>
      </c>
      <c r="C38" s="4">
        <v>1</v>
      </c>
      <c r="D38" s="6">
        <v>11.5</v>
      </c>
      <c r="E38" s="6">
        <v>11.5</v>
      </c>
      <c r="F38" s="9">
        <v>24.99</v>
      </c>
      <c r="G38" s="6">
        <v>24.99</v>
      </c>
      <c r="H38" s="4" t="s">
        <v>1314</v>
      </c>
      <c r="I38" s="2" t="s">
        <v>1315</v>
      </c>
      <c r="J38" s="10" t="s">
        <v>2431</v>
      </c>
      <c r="K38" s="6"/>
      <c r="L38" s="6"/>
      <c r="M38" s="2" t="s">
        <v>1970</v>
      </c>
      <c r="N38" s="2" t="s">
        <v>2012</v>
      </c>
      <c r="O38" s="2" t="s">
        <v>2448</v>
      </c>
      <c r="P38" s="2" t="s">
        <v>1988</v>
      </c>
      <c r="Q38" s="2"/>
      <c r="R38" s="11" t="str">
        <f>HYPERLINK("http://slimages.macys.com/is/image/MCY/11926802 ")</f>
        <v xml:space="preserve">http://slimages.macys.com/is/image/MCY/11926802 </v>
      </c>
    </row>
    <row r="39" spans="1:18" ht="24.75" x14ac:dyDescent="0.25">
      <c r="A39" s="8" t="s">
        <v>1316</v>
      </c>
      <c r="B39" s="2" t="s">
        <v>1317</v>
      </c>
      <c r="C39" s="4">
        <v>1</v>
      </c>
      <c r="D39" s="6">
        <v>13.2</v>
      </c>
      <c r="E39" s="6">
        <v>13.2</v>
      </c>
      <c r="F39" s="9">
        <v>29.99</v>
      </c>
      <c r="G39" s="6">
        <v>29.99</v>
      </c>
      <c r="H39" s="4">
        <v>10002441700</v>
      </c>
      <c r="I39" s="2" t="s">
        <v>954</v>
      </c>
      <c r="J39" s="10" t="s">
        <v>1052</v>
      </c>
      <c r="K39" s="6"/>
      <c r="L39" s="6"/>
      <c r="M39" s="2" t="s">
        <v>1970</v>
      </c>
      <c r="N39" s="2" t="s">
        <v>2846</v>
      </c>
      <c r="O39" s="2" t="s">
        <v>2847</v>
      </c>
      <c r="P39" s="2" t="s">
        <v>2933</v>
      </c>
      <c r="Q39" s="2" t="s">
        <v>1168</v>
      </c>
      <c r="R39" s="11" t="str">
        <f>HYPERLINK("http://slimages.macys.com/is/image/MCY/9938529 ")</f>
        <v xml:space="preserve">http://slimages.macys.com/is/image/MCY/9938529 </v>
      </c>
    </row>
    <row r="40" spans="1:18" ht="24.75" x14ac:dyDescent="0.25">
      <c r="A40" s="8" t="s">
        <v>1318</v>
      </c>
      <c r="B40" s="2" t="s">
        <v>1319</v>
      </c>
      <c r="C40" s="4">
        <v>1</v>
      </c>
      <c r="D40" s="6">
        <v>12.94</v>
      </c>
      <c r="E40" s="6">
        <v>12.94</v>
      </c>
      <c r="F40" s="9">
        <v>29.99</v>
      </c>
      <c r="G40" s="6">
        <v>29.99</v>
      </c>
      <c r="H40" s="4">
        <v>1000112230</v>
      </c>
      <c r="I40" s="2" t="s">
        <v>2162</v>
      </c>
      <c r="J40" s="10"/>
      <c r="K40" s="6"/>
      <c r="L40" s="6"/>
      <c r="M40" s="2" t="s">
        <v>1970</v>
      </c>
      <c r="N40" s="2" t="s">
        <v>2846</v>
      </c>
      <c r="O40" s="2" t="s">
        <v>2847</v>
      </c>
      <c r="P40" s="2" t="s">
        <v>2933</v>
      </c>
      <c r="Q40" s="2" t="s">
        <v>2352</v>
      </c>
      <c r="R40" s="11" t="str">
        <f>HYPERLINK("http://slimages.macys.com/is/image/MCY/8993305 ")</f>
        <v xml:space="preserve">http://slimages.macys.com/is/image/MCY/8993305 </v>
      </c>
    </row>
    <row r="41" spans="1:18" ht="24.75" x14ac:dyDescent="0.25">
      <c r="A41" s="8" t="s">
        <v>1320</v>
      </c>
      <c r="B41" s="2" t="s">
        <v>1321</v>
      </c>
      <c r="C41" s="4">
        <v>2</v>
      </c>
      <c r="D41" s="6">
        <v>11</v>
      </c>
      <c r="E41" s="6">
        <v>22</v>
      </c>
      <c r="F41" s="9">
        <v>24.99</v>
      </c>
      <c r="G41" s="6">
        <v>49.98</v>
      </c>
      <c r="H41" s="4" t="s">
        <v>1322</v>
      </c>
      <c r="I41" s="2" t="s">
        <v>2077</v>
      </c>
      <c r="J41" s="10"/>
      <c r="K41" s="6"/>
      <c r="L41" s="6"/>
      <c r="M41" s="2" t="s">
        <v>1970</v>
      </c>
      <c r="N41" s="2" t="s">
        <v>2012</v>
      </c>
      <c r="O41" s="2" t="s">
        <v>2448</v>
      </c>
      <c r="P41" s="2" t="s">
        <v>1988</v>
      </c>
      <c r="Q41" s="2"/>
      <c r="R41" s="11" t="str">
        <f>HYPERLINK("http://slimages.macys.com/is/image/MCY/11926791 ")</f>
        <v xml:space="preserve">http://slimages.macys.com/is/image/MCY/11926791 </v>
      </c>
    </row>
    <row r="42" spans="1:18" ht="24.75" x14ac:dyDescent="0.25">
      <c r="A42" s="8" t="s">
        <v>1323</v>
      </c>
      <c r="B42" s="2" t="s">
        <v>1324</v>
      </c>
      <c r="C42" s="4">
        <v>1</v>
      </c>
      <c r="D42" s="6">
        <v>9</v>
      </c>
      <c r="E42" s="6">
        <v>9</v>
      </c>
      <c r="F42" s="9">
        <v>19.989999999999998</v>
      </c>
      <c r="G42" s="6">
        <v>19.989999999999998</v>
      </c>
      <c r="H42" s="4" t="s">
        <v>1325</v>
      </c>
      <c r="I42" s="2"/>
      <c r="J42" s="10"/>
      <c r="K42" s="6"/>
      <c r="L42" s="6"/>
      <c r="M42" s="2" t="s">
        <v>1970</v>
      </c>
      <c r="N42" s="2" t="s">
        <v>2012</v>
      </c>
      <c r="O42" s="2" t="s">
        <v>2426</v>
      </c>
      <c r="P42" s="2" t="s">
        <v>1988</v>
      </c>
      <c r="Q42" s="2"/>
      <c r="R42" s="11" t="str">
        <f>HYPERLINK("http://slimages.macys.com/is/image/MCY/11926687 ")</f>
        <v xml:space="preserve">http://slimages.macys.com/is/image/MCY/11926687 </v>
      </c>
    </row>
    <row r="43" spans="1:18" ht="24.75" x14ac:dyDescent="0.25">
      <c r="A43" s="8" t="s">
        <v>1326</v>
      </c>
      <c r="B43" s="2" t="s">
        <v>1327</v>
      </c>
      <c r="C43" s="4">
        <v>1</v>
      </c>
      <c r="D43" s="6">
        <v>4.49</v>
      </c>
      <c r="E43" s="6">
        <v>4.49</v>
      </c>
      <c r="F43" s="9">
        <v>8.99</v>
      </c>
      <c r="G43" s="6">
        <v>8.99</v>
      </c>
      <c r="H43" s="4">
        <v>78279</v>
      </c>
      <c r="I43" s="2" t="s">
        <v>2283</v>
      </c>
      <c r="J43" s="10"/>
      <c r="K43" s="6"/>
      <c r="L43" s="6"/>
      <c r="M43" s="2" t="s">
        <v>1970</v>
      </c>
      <c r="N43" s="2" t="s">
        <v>2012</v>
      </c>
      <c r="O43" s="2" t="s">
        <v>1999</v>
      </c>
      <c r="P43" s="2" t="s">
        <v>1988</v>
      </c>
      <c r="Q43" s="2"/>
      <c r="R43" s="11" t="str">
        <f>HYPERLINK("http://slimages.macys.com/is/image/MCY/8940340 ")</f>
        <v xml:space="preserve">http://slimages.macys.com/is/image/MCY/8940340 </v>
      </c>
    </row>
    <row r="44" spans="1:18" ht="24.75" x14ac:dyDescent="0.25">
      <c r="A44" s="8" t="s">
        <v>1328</v>
      </c>
      <c r="B44" s="2" t="s">
        <v>1329</v>
      </c>
      <c r="C44" s="4">
        <v>1</v>
      </c>
      <c r="D44" s="6">
        <v>4.49</v>
      </c>
      <c r="E44" s="6">
        <v>4.49</v>
      </c>
      <c r="F44" s="9">
        <v>8.99</v>
      </c>
      <c r="G44" s="6">
        <v>8.99</v>
      </c>
      <c r="H44" s="4">
        <v>78280</v>
      </c>
      <c r="I44" s="2" t="s">
        <v>2057</v>
      </c>
      <c r="J44" s="10"/>
      <c r="K44" s="6"/>
      <c r="L44" s="6"/>
      <c r="M44" s="2" t="s">
        <v>1970</v>
      </c>
      <c r="N44" s="2" t="s">
        <v>2012</v>
      </c>
      <c r="O44" s="2" t="s">
        <v>1999</v>
      </c>
      <c r="P44" s="2" t="s">
        <v>1988</v>
      </c>
      <c r="Q44" s="2"/>
      <c r="R44" s="11" t="str">
        <f>HYPERLINK("http://slimages.macys.com/is/image/MCY/8940348 ")</f>
        <v xml:space="preserve">http://slimages.macys.com/is/image/MCY/8940348 </v>
      </c>
    </row>
    <row r="45" spans="1:18" ht="24.75" x14ac:dyDescent="0.25">
      <c r="A45" s="8" t="s">
        <v>1330</v>
      </c>
      <c r="B45" s="2" t="s">
        <v>1331</v>
      </c>
      <c r="C45" s="4">
        <v>2</v>
      </c>
      <c r="D45" s="6">
        <v>4.49</v>
      </c>
      <c r="E45" s="6">
        <v>8.98</v>
      </c>
      <c r="F45" s="9">
        <v>8.99</v>
      </c>
      <c r="G45" s="6">
        <v>17.98</v>
      </c>
      <c r="H45" s="4">
        <v>78282</v>
      </c>
      <c r="I45" s="2" t="s">
        <v>2026</v>
      </c>
      <c r="J45" s="10"/>
      <c r="K45" s="6"/>
      <c r="L45" s="6"/>
      <c r="M45" s="2" t="s">
        <v>1970</v>
      </c>
      <c r="N45" s="2" t="s">
        <v>2012</v>
      </c>
      <c r="O45" s="2" t="s">
        <v>1999</v>
      </c>
      <c r="P45" s="2" t="s">
        <v>1988</v>
      </c>
      <c r="Q45" s="2"/>
      <c r="R45" s="11" t="str">
        <f>HYPERLINK("http://slimages.macys.com/is/image/MCY/8940359 ")</f>
        <v xml:space="preserve">http://slimages.macys.com/is/image/MCY/8940359 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3"/>
  <sheetViews>
    <sheetView topLeftCell="A32" workbookViewId="0">
      <selection activeCell="F62" sqref="F61:F62"/>
    </sheetView>
  </sheetViews>
  <sheetFormatPr defaultRowHeight="15" x14ac:dyDescent="0.25"/>
  <cols>
    <col min="1" max="1" width="14.28515625" customWidth="1"/>
    <col min="2" max="2" width="28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6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1439</v>
      </c>
      <c r="B2" s="2" t="s">
        <v>1440</v>
      </c>
      <c r="C2" s="4">
        <v>1</v>
      </c>
      <c r="D2" s="6">
        <v>115</v>
      </c>
      <c r="E2" s="6">
        <v>115</v>
      </c>
      <c r="F2" s="9">
        <v>229.99</v>
      </c>
      <c r="G2" s="6">
        <v>229.99</v>
      </c>
      <c r="H2" s="4" t="s">
        <v>1441</v>
      </c>
      <c r="I2" s="2" t="s">
        <v>2031</v>
      </c>
      <c r="J2" s="10"/>
      <c r="K2" s="6"/>
      <c r="L2" s="6"/>
      <c r="M2" s="2" t="s">
        <v>1970</v>
      </c>
      <c r="N2" s="2" t="s">
        <v>1442</v>
      </c>
      <c r="O2" s="2" t="s">
        <v>1443</v>
      </c>
      <c r="P2" s="2" t="s">
        <v>1988</v>
      </c>
      <c r="Q2" s="2" t="s">
        <v>2095</v>
      </c>
      <c r="R2" s="11" t="str">
        <f>HYPERLINK("http://slimages.macys.com/is/image/MCY/3665370 ")</f>
        <v xml:space="preserve">http://slimages.macys.com/is/image/MCY/3665370 </v>
      </c>
    </row>
    <row r="3" spans="1:18" ht="24.75" x14ac:dyDescent="0.25">
      <c r="A3" s="8" t="s">
        <v>1444</v>
      </c>
      <c r="B3" s="2" t="s">
        <v>1445</v>
      </c>
      <c r="C3" s="4">
        <v>1</v>
      </c>
      <c r="D3" s="6">
        <v>97.88</v>
      </c>
      <c r="E3" s="6">
        <v>97.88</v>
      </c>
      <c r="F3" s="9">
        <v>249.99</v>
      </c>
      <c r="G3" s="6">
        <v>249.99</v>
      </c>
      <c r="H3" s="4" t="s">
        <v>1446</v>
      </c>
      <c r="I3" s="2" t="s">
        <v>2026</v>
      </c>
      <c r="J3" s="10"/>
      <c r="K3" s="6"/>
      <c r="L3" s="6"/>
      <c r="M3" s="2" t="s">
        <v>1970</v>
      </c>
      <c r="N3" s="2" t="s">
        <v>2626</v>
      </c>
      <c r="O3" s="2" t="s">
        <v>2627</v>
      </c>
      <c r="P3" s="2" t="s">
        <v>1988</v>
      </c>
      <c r="Q3" s="2" t="s">
        <v>2942</v>
      </c>
      <c r="R3" s="11" t="str">
        <f>HYPERLINK("http://slimages.macys.com/is/image/MCY/2567151 ")</f>
        <v xml:space="preserve">http://slimages.macys.com/is/image/MCY/2567151 </v>
      </c>
    </row>
    <row r="4" spans="1:18" ht="204.75" x14ac:dyDescent="0.25">
      <c r="A4" s="8" t="s">
        <v>1447</v>
      </c>
      <c r="B4" s="2" t="s">
        <v>1448</v>
      </c>
      <c r="C4" s="4">
        <v>1</v>
      </c>
      <c r="D4" s="6">
        <v>69.16</v>
      </c>
      <c r="E4" s="6">
        <v>69.16</v>
      </c>
      <c r="F4" s="9">
        <v>189.99</v>
      </c>
      <c r="G4" s="6">
        <v>189.99</v>
      </c>
      <c r="H4" s="4" t="s">
        <v>1449</v>
      </c>
      <c r="I4" s="2" t="s">
        <v>2120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1450</v>
      </c>
      <c r="R4" s="11" t="str">
        <f>HYPERLINK("http://slimages.macys.com/is/image/MCY/9627887 ")</f>
        <v xml:space="preserve">http://slimages.macys.com/is/image/MCY/9627887 </v>
      </c>
    </row>
    <row r="5" spans="1:18" ht="144.75" x14ac:dyDescent="0.25">
      <c r="A5" s="8" t="s">
        <v>1451</v>
      </c>
      <c r="B5" s="2" t="s">
        <v>1452</v>
      </c>
      <c r="C5" s="4">
        <v>3</v>
      </c>
      <c r="D5" s="6">
        <v>60.75</v>
      </c>
      <c r="E5" s="6">
        <v>182.25</v>
      </c>
      <c r="F5" s="9">
        <v>139.99</v>
      </c>
      <c r="G5" s="6">
        <v>419.97</v>
      </c>
      <c r="H5" s="4" t="s">
        <v>1453</v>
      </c>
      <c r="I5" s="2" t="s">
        <v>2162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1454</v>
      </c>
      <c r="R5" s="11" t="str">
        <f>HYPERLINK("http://slimages.macys.com/is/image/MCY/8936712 ")</f>
        <v xml:space="preserve">http://slimages.macys.com/is/image/MCY/8936712 </v>
      </c>
    </row>
    <row r="6" spans="1:18" ht="24.75" x14ac:dyDescent="0.25">
      <c r="A6" s="8" t="s">
        <v>2756</v>
      </c>
      <c r="B6" s="2" t="s">
        <v>1455</v>
      </c>
      <c r="C6" s="4">
        <v>1</v>
      </c>
      <c r="D6" s="6">
        <v>54.55</v>
      </c>
      <c r="E6" s="6">
        <v>54.55</v>
      </c>
      <c r="F6" s="9">
        <v>129.99</v>
      </c>
      <c r="G6" s="6">
        <v>129.99</v>
      </c>
      <c r="H6" s="4" t="s">
        <v>2758</v>
      </c>
      <c r="I6" s="2" t="s">
        <v>2017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1995</v>
      </c>
      <c r="R6" s="11" t="str">
        <f>HYPERLINK("http://slimages.macys.com/is/image/MCY/8930319 ")</f>
        <v xml:space="preserve">http://slimages.macys.com/is/image/MCY/8930319 </v>
      </c>
    </row>
    <row r="7" spans="1:18" ht="24.75" x14ac:dyDescent="0.25">
      <c r="A7" s="8" t="s">
        <v>1456</v>
      </c>
      <c r="B7" s="2" t="s">
        <v>1457</v>
      </c>
      <c r="C7" s="4">
        <v>1</v>
      </c>
      <c r="D7" s="6">
        <v>41.05</v>
      </c>
      <c r="E7" s="6">
        <v>41.05</v>
      </c>
      <c r="F7" s="9">
        <v>129.99</v>
      </c>
      <c r="G7" s="6">
        <v>129.99</v>
      </c>
      <c r="H7" s="4" t="s">
        <v>1458</v>
      </c>
      <c r="I7" s="2" t="s">
        <v>2294</v>
      </c>
      <c r="J7" s="10"/>
      <c r="K7" s="6"/>
      <c r="L7" s="6"/>
      <c r="M7" s="2" t="s">
        <v>1970</v>
      </c>
      <c r="N7" s="2" t="s">
        <v>2167</v>
      </c>
      <c r="O7" s="2" t="s">
        <v>2443</v>
      </c>
      <c r="P7" s="2" t="s">
        <v>1988</v>
      </c>
      <c r="Q7" s="2" t="s">
        <v>1459</v>
      </c>
      <c r="R7" s="11" t="str">
        <f>HYPERLINK("http://slimages.macys.com/is/image/MCY/8433239 ")</f>
        <v xml:space="preserve">http://slimages.macys.com/is/image/MCY/8433239 </v>
      </c>
    </row>
    <row r="8" spans="1:18" ht="48.75" x14ac:dyDescent="0.25">
      <c r="A8" s="8" t="s">
        <v>1460</v>
      </c>
      <c r="B8" s="2" t="s">
        <v>1461</v>
      </c>
      <c r="C8" s="4">
        <v>1</v>
      </c>
      <c r="D8" s="6">
        <v>34.729999999999997</v>
      </c>
      <c r="E8" s="6">
        <v>34.729999999999997</v>
      </c>
      <c r="F8" s="9">
        <v>77.989999999999995</v>
      </c>
      <c r="G8" s="6">
        <v>77.989999999999995</v>
      </c>
      <c r="H8" s="4" t="s">
        <v>1462</v>
      </c>
      <c r="I8" s="2" t="s">
        <v>1993</v>
      </c>
      <c r="J8" s="10"/>
      <c r="K8" s="6"/>
      <c r="L8" s="6"/>
      <c r="M8" s="2" t="s">
        <v>1970</v>
      </c>
      <c r="N8" s="2" t="s">
        <v>2012</v>
      </c>
      <c r="O8" s="2" t="s">
        <v>1987</v>
      </c>
      <c r="P8" s="2" t="s">
        <v>1988</v>
      </c>
      <c r="Q8" s="2" t="s">
        <v>1463</v>
      </c>
      <c r="R8" s="11" t="str">
        <f>HYPERLINK("http://slimages.macys.com/is/image/MCY/12071160 ")</f>
        <v xml:space="preserve">http://slimages.macys.com/is/image/MCY/12071160 </v>
      </c>
    </row>
    <row r="9" spans="1:18" ht="36.75" x14ac:dyDescent="0.25">
      <c r="A9" s="8" t="s">
        <v>2643</v>
      </c>
      <c r="B9" s="2" t="s">
        <v>1464</v>
      </c>
      <c r="C9" s="4">
        <v>2</v>
      </c>
      <c r="D9" s="6">
        <v>34.71</v>
      </c>
      <c r="E9" s="6">
        <v>69.42</v>
      </c>
      <c r="F9" s="9">
        <v>74.989999999999995</v>
      </c>
      <c r="G9" s="6">
        <v>149.97999999999999</v>
      </c>
      <c r="H9" s="4" t="s">
        <v>2645</v>
      </c>
      <c r="I9" s="2" t="s">
        <v>2057</v>
      </c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2058</v>
      </c>
      <c r="R9" s="11" t="str">
        <f>HYPERLINK("http://slimages.macys.com/is/image/MCY/13049668 ")</f>
        <v xml:space="preserve">http://slimages.macys.com/is/image/MCY/13049668 </v>
      </c>
    </row>
    <row r="10" spans="1:18" ht="24.75" x14ac:dyDescent="0.25">
      <c r="A10" s="8" t="s">
        <v>1465</v>
      </c>
      <c r="B10" s="2" t="s">
        <v>1466</v>
      </c>
      <c r="C10" s="4">
        <v>1</v>
      </c>
      <c r="D10" s="6">
        <v>28</v>
      </c>
      <c r="E10" s="6">
        <v>28</v>
      </c>
      <c r="F10" s="9">
        <v>82.99</v>
      </c>
      <c r="G10" s="6">
        <v>82.99</v>
      </c>
      <c r="H10" s="4" t="s">
        <v>1467</v>
      </c>
      <c r="I10" s="2" t="s">
        <v>2162</v>
      </c>
      <c r="J10" s="10"/>
      <c r="K10" s="6"/>
      <c r="L10" s="6"/>
      <c r="M10" s="2" t="s">
        <v>1970</v>
      </c>
      <c r="N10" s="2" t="s">
        <v>2012</v>
      </c>
      <c r="O10" s="2" t="s">
        <v>2013</v>
      </c>
      <c r="P10" s="2" t="s">
        <v>1988</v>
      </c>
      <c r="Q10" s="2" t="s">
        <v>1995</v>
      </c>
      <c r="R10" s="11" t="str">
        <f>HYPERLINK("http://slimages.macys.com/is/image/MCY/10341258 ")</f>
        <v xml:space="preserve">http://slimages.macys.com/is/image/MCY/10341258 </v>
      </c>
    </row>
    <row r="11" spans="1:18" ht="108.75" x14ac:dyDescent="0.25">
      <c r="A11" s="8" t="s">
        <v>1468</v>
      </c>
      <c r="B11" s="2" t="s">
        <v>1469</v>
      </c>
      <c r="C11" s="4">
        <v>1</v>
      </c>
      <c r="D11" s="6">
        <v>30.37</v>
      </c>
      <c r="E11" s="6">
        <v>30.37</v>
      </c>
      <c r="F11" s="9">
        <v>79.989999999999995</v>
      </c>
      <c r="G11" s="6">
        <v>79.989999999999995</v>
      </c>
      <c r="H11" s="4" t="s">
        <v>1470</v>
      </c>
      <c r="I11" s="2" t="s">
        <v>2048</v>
      </c>
      <c r="J11" s="10"/>
      <c r="K11" s="6"/>
      <c r="L11" s="6"/>
      <c r="M11" s="2" t="s">
        <v>1970</v>
      </c>
      <c r="N11" s="2" t="s">
        <v>1986</v>
      </c>
      <c r="O11" s="2" t="s">
        <v>1987</v>
      </c>
      <c r="P11" s="2" t="s">
        <v>1988</v>
      </c>
      <c r="Q11" s="2" t="s">
        <v>2412</v>
      </c>
      <c r="R11" s="11" t="str">
        <f>HYPERLINK("http://slimages.macys.com/is/image/MCY/9566779 ")</f>
        <v xml:space="preserve">http://slimages.macys.com/is/image/MCY/9566779 </v>
      </c>
    </row>
    <row r="12" spans="1:18" ht="24.75" x14ac:dyDescent="0.25">
      <c r="A12" s="8" t="s">
        <v>1471</v>
      </c>
      <c r="B12" s="2" t="s">
        <v>1472</v>
      </c>
      <c r="C12" s="4">
        <v>1</v>
      </c>
      <c r="D12" s="6">
        <v>28.92</v>
      </c>
      <c r="E12" s="6">
        <v>28.92</v>
      </c>
      <c r="F12" s="9">
        <v>69.989999999999995</v>
      </c>
      <c r="G12" s="6">
        <v>69.989999999999995</v>
      </c>
      <c r="H12" s="4" t="s">
        <v>1473</v>
      </c>
      <c r="I12" s="2"/>
      <c r="J12" s="10"/>
      <c r="K12" s="6"/>
      <c r="L12" s="6"/>
      <c r="M12" s="2" t="s">
        <v>1970</v>
      </c>
      <c r="N12" s="2" t="s">
        <v>1986</v>
      </c>
      <c r="O12" s="2" t="s">
        <v>1987</v>
      </c>
      <c r="P12" s="2" t="s">
        <v>1988</v>
      </c>
      <c r="Q12" s="2" t="s">
        <v>2053</v>
      </c>
      <c r="R12" s="11" t="str">
        <f>HYPERLINK("http://slimages.macys.com/is/image/MCY/9445412 ")</f>
        <v xml:space="preserve">http://slimages.macys.com/is/image/MCY/9445412 </v>
      </c>
    </row>
    <row r="13" spans="1:18" ht="24.75" x14ac:dyDescent="0.25">
      <c r="A13" s="8" t="s">
        <v>1474</v>
      </c>
      <c r="B13" s="2" t="s">
        <v>1475</v>
      </c>
      <c r="C13" s="4">
        <v>1</v>
      </c>
      <c r="D13" s="6">
        <v>28.48</v>
      </c>
      <c r="E13" s="6">
        <v>28.48</v>
      </c>
      <c r="F13" s="9">
        <v>69.989999999999995</v>
      </c>
      <c r="G13" s="6">
        <v>69.989999999999995</v>
      </c>
      <c r="H13" s="4" t="s">
        <v>1476</v>
      </c>
      <c r="I13" s="2" t="s">
        <v>2057</v>
      </c>
      <c r="J13" s="10"/>
      <c r="K13" s="6"/>
      <c r="L13" s="6"/>
      <c r="M13" s="2" t="s">
        <v>1970</v>
      </c>
      <c r="N13" s="2" t="s">
        <v>1986</v>
      </c>
      <c r="O13" s="2" t="s">
        <v>1987</v>
      </c>
      <c r="P13" s="2" t="s">
        <v>1988</v>
      </c>
      <c r="Q13" s="2" t="s">
        <v>1995</v>
      </c>
      <c r="R13" s="11" t="str">
        <f>HYPERLINK("http://slimages.macys.com/is/image/MCY/9812356 ")</f>
        <v xml:space="preserve">http://slimages.macys.com/is/image/MCY/9812356 </v>
      </c>
    </row>
    <row r="14" spans="1:18" ht="24.75" x14ac:dyDescent="0.25">
      <c r="A14" s="8" t="s">
        <v>1477</v>
      </c>
      <c r="B14" s="2" t="s">
        <v>1478</v>
      </c>
      <c r="C14" s="4">
        <v>1</v>
      </c>
      <c r="D14" s="6">
        <v>22.9</v>
      </c>
      <c r="E14" s="6">
        <v>22.9</v>
      </c>
      <c r="F14" s="9">
        <v>57.99</v>
      </c>
      <c r="G14" s="6">
        <v>57.99</v>
      </c>
      <c r="H14" s="4">
        <v>46514</v>
      </c>
      <c r="I14" s="2" t="s">
        <v>2026</v>
      </c>
      <c r="J14" s="10"/>
      <c r="K14" s="6"/>
      <c r="L14" s="6"/>
      <c r="M14" s="2" t="s">
        <v>1970</v>
      </c>
      <c r="N14" s="2" t="s">
        <v>2005</v>
      </c>
      <c r="O14" s="2" t="s">
        <v>2304</v>
      </c>
      <c r="P14" s="2" t="s">
        <v>1988</v>
      </c>
      <c r="Q14" s="2" t="s">
        <v>1479</v>
      </c>
      <c r="R14" s="11" t="str">
        <f>HYPERLINK("http://slimages.macys.com/is/image/MCY/14370933 ")</f>
        <v xml:space="preserve">http://slimages.macys.com/is/image/MCY/14370933 </v>
      </c>
    </row>
    <row r="15" spans="1:18" ht="24.75" x14ac:dyDescent="0.25">
      <c r="A15" s="8" t="s">
        <v>1480</v>
      </c>
      <c r="B15" s="2" t="s">
        <v>1481</v>
      </c>
      <c r="C15" s="4">
        <v>2</v>
      </c>
      <c r="D15" s="6">
        <v>22.62</v>
      </c>
      <c r="E15" s="6">
        <v>45.24</v>
      </c>
      <c r="F15" s="9">
        <v>59.99</v>
      </c>
      <c r="G15" s="6">
        <v>119.98</v>
      </c>
      <c r="H15" s="4" t="s">
        <v>1482</v>
      </c>
      <c r="I15" s="2" t="s">
        <v>2252</v>
      </c>
      <c r="J15" s="10"/>
      <c r="K15" s="6"/>
      <c r="L15" s="6"/>
      <c r="M15" s="2" t="s">
        <v>1970</v>
      </c>
      <c r="N15" s="2" t="s">
        <v>2012</v>
      </c>
      <c r="O15" s="2" t="s">
        <v>2667</v>
      </c>
      <c r="P15" s="2" t="s">
        <v>1988</v>
      </c>
      <c r="Q15" s="2" t="s">
        <v>1369</v>
      </c>
      <c r="R15" s="11" t="str">
        <f>HYPERLINK("http://slimages.macys.com/is/image/MCY/3252301 ")</f>
        <v xml:space="preserve">http://slimages.macys.com/is/image/MCY/3252301 </v>
      </c>
    </row>
    <row r="16" spans="1:18" ht="72.75" x14ac:dyDescent="0.25">
      <c r="A16" s="8" t="s">
        <v>1483</v>
      </c>
      <c r="B16" s="2" t="s">
        <v>1484</v>
      </c>
      <c r="C16" s="4">
        <v>1</v>
      </c>
      <c r="D16" s="6">
        <v>21.7</v>
      </c>
      <c r="E16" s="6">
        <v>21.7</v>
      </c>
      <c r="F16" s="9">
        <v>77.989999999999995</v>
      </c>
      <c r="G16" s="6">
        <v>77.989999999999995</v>
      </c>
      <c r="H16" s="4" t="s">
        <v>1485</v>
      </c>
      <c r="I16" s="2" t="s">
        <v>2026</v>
      </c>
      <c r="J16" s="10"/>
      <c r="K16" s="6"/>
      <c r="L16" s="6"/>
      <c r="M16" s="2" t="s">
        <v>1970</v>
      </c>
      <c r="N16" s="2" t="s">
        <v>2012</v>
      </c>
      <c r="O16" s="2" t="s">
        <v>1987</v>
      </c>
      <c r="P16" s="2" t="s">
        <v>1988</v>
      </c>
      <c r="Q16" s="2" t="s">
        <v>1486</v>
      </c>
      <c r="R16" s="11" t="str">
        <f>HYPERLINK("http://slimages.macys.com/is/image/MCY/12490277 ")</f>
        <v xml:space="preserve">http://slimages.macys.com/is/image/MCY/12490277 </v>
      </c>
    </row>
    <row r="17" spans="1:18" ht="24.75" x14ac:dyDescent="0.25">
      <c r="A17" s="8" t="s">
        <v>1487</v>
      </c>
      <c r="B17" s="2" t="s">
        <v>1488</v>
      </c>
      <c r="C17" s="4">
        <v>1</v>
      </c>
      <c r="D17" s="6">
        <v>24.45</v>
      </c>
      <c r="E17" s="6">
        <v>24.45</v>
      </c>
      <c r="F17" s="9">
        <v>71.989999999999995</v>
      </c>
      <c r="G17" s="6">
        <v>71.989999999999995</v>
      </c>
      <c r="H17" s="4" t="s">
        <v>1489</v>
      </c>
      <c r="I17" s="2" t="s">
        <v>2294</v>
      </c>
      <c r="J17" s="10"/>
      <c r="K17" s="6"/>
      <c r="L17" s="6"/>
      <c r="M17" s="2" t="s">
        <v>1970</v>
      </c>
      <c r="N17" s="2" t="s">
        <v>1986</v>
      </c>
      <c r="O17" s="2" t="s">
        <v>2208</v>
      </c>
      <c r="P17" s="2" t="s">
        <v>1988</v>
      </c>
      <c r="Q17" s="2" t="s">
        <v>1995</v>
      </c>
      <c r="R17" s="11" t="str">
        <f>HYPERLINK("http://slimages.macys.com/is/image/MCY/13743886 ")</f>
        <v xml:space="preserve">http://slimages.macys.com/is/image/MCY/13743886 </v>
      </c>
    </row>
    <row r="18" spans="1:18" ht="84.75" x14ac:dyDescent="0.25">
      <c r="A18" s="8" t="s">
        <v>1490</v>
      </c>
      <c r="B18" s="2" t="s">
        <v>1491</v>
      </c>
      <c r="C18" s="4">
        <v>1</v>
      </c>
      <c r="D18" s="6">
        <v>20</v>
      </c>
      <c r="E18" s="6">
        <v>20</v>
      </c>
      <c r="F18" s="9">
        <v>44.99</v>
      </c>
      <c r="G18" s="6">
        <v>44.99</v>
      </c>
      <c r="H18" s="4" t="s">
        <v>1492</v>
      </c>
      <c r="I18" s="2" t="s">
        <v>2026</v>
      </c>
      <c r="J18" s="10" t="s">
        <v>2374</v>
      </c>
      <c r="K18" s="6"/>
      <c r="L18" s="6"/>
      <c r="M18" s="2" t="s">
        <v>1970</v>
      </c>
      <c r="N18" s="2" t="s">
        <v>2005</v>
      </c>
      <c r="O18" s="2" t="s">
        <v>1493</v>
      </c>
      <c r="P18" s="2" t="s">
        <v>1988</v>
      </c>
      <c r="Q18" s="2" t="s">
        <v>1494</v>
      </c>
      <c r="R18" s="11" t="str">
        <f>HYPERLINK("http://slimages.macys.com/is/image/MCY/3422110 ")</f>
        <v xml:space="preserve">http://slimages.macys.com/is/image/MCY/3422110 </v>
      </c>
    </row>
    <row r="19" spans="1:18" ht="24.75" x14ac:dyDescent="0.25">
      <c r="A19" s="8" t="s">
        <v>1495</v>
      </c>
      <c r="B19" s="2" t="s">
        <v>1496</v>
      </c>
      <c r="C19" s="4">
        <v>1</v>
      </c>
      <c r="D19" s="6">
        <v>23</v>
      </c>
      <c r="E19" s="6">
        <v>23</v>
      </c>
      <c r="F19" s="9">
        <v>39.99</v>
      </c>
      <c r="G19" s="6">
        <v>39.99</v>
      </c>
      <c r="H19" s="4" t="s">
        <v>1497</v>
      </c>
      <c r="I19" s="2" t="s">
        <v>2603</v>
      </c>
      <c r="J19" s="10"/>
      <c r="K19" s="6"/>
      <c r="L19" s="6"/>
      <c r="M19" s="2" t="s">
        <v>1970</v>
      </c>
      <c r="N19" s="2" t="s">
        <v>805</v>
      </c>
      <c r="O19" s="2" t="s">
        <v>1498</v>
      </c>
      <c r="P19" s="2" t="s">
        <v>1988</v>
      </c>
      <c r="Q19" s="2"/>
      <c r="R19" s="11" t="str">
        <f>HYPERLINK("http://slimages.macys.com/is/image/MCY/10155687 ")</f>
        <v xml:space="preserve">http://slimages.macys.com/is/image/MCY/10155687 </v>
      </c>
    </row>
    <row r="20" spans="1:18" ht="60.75" x14ac:dyDescent="0.25">
      <c r="A20" s="8" t="s">
        <v>1499</v>
      </c>
      <c r="B20" s="2" t="s">
        <v>1500</v>
      </c>
      <c r="C20" s="4">
        <v>2</v>
      </c>
      <c r="D20" s="6">
        <v>21.7</v>
      </c>
      <c r="E20" s="6">
        <v>43.4</v>
      </c>
      <c r="F20" s="9">
        <v>59.99</v>
      </c>
      <c r="G20" s="6">
        <v>119.98</v>
      </c>
      <c r="H20" s="4" t="s">
        <v>1501</v>
      </c>
      <c r="I20" s="2" t="s">
        <v>2017</v>
      </c>
      <c r="J20" s="10"/>
      <c r="K20" s="6"/>
      <c r="L20" s="6"/>
      <c r="M20" s="2" t="s">
        <v>1970</v>
      </c>
      <c r="N20" s="2" t="s">
        <v>1986</v>
      </c>
      <c r="O20" s="2" t="s">
        <v>1987</v>
      </c>
      <c r="P20" s="2" t="s">
        <v>1988</v>
      </c>
      <c r="Q20" s="2" t="s">
        <v>1502</v>
      </c>
      <c r="R20" s="11" t="str">
        <f>HYPERLINK("http://slimages.macys.com/is/image/MCY/9492570 ")</f>
        <v xml:space="preserve">http://slimages.macys.com/is/image/MCY/9492570 </v>
      </c>
    </row>
    <row r="21" spans="1:18" ht="24.75" x14ac:dyDescent="0.25">
      <c r="A21" s="8" t="s">
        <v>1503</v>
      </c>
      <c r="B21" s="2" t="s">
        <v>1504</v>
      </c>
      <c r="C21" s="4">
        <v>1</v>
      </c>
      <c r="D21" s="6">
        <v>16.989999999999998</v>
      </c>
      <c r="E21" s="6">
        <v>16.989999999999998</v>
      </c>
      <c r="F21" s="9">
        <v>16.989999999999998</v>
      </c>
      <c r="G21" s="6">
        <v>16.989999999999998</v>
      </c>
      <c r="H21" s="4" t="s">
        <v>1505</v>
      </c>
      <c r="I21" s="2" t="s">
        <v>2026</v>
      </c>
      <c r="J21" s="10"/>
      <c r="K21" s="6"/>
      <c r="L21" s="6"/>
      <c r="M21" s="2" t="s">
        <v>1970</v>
      </c>
      <c r="N21" s="2" t="s">
        <v>2012</v>
      </c>
      <c r="O21" s="2" t="s">
        <v>2088</v>
      </c>
      <c r="P21" s="2" t="s">
        <v>1988</v>
      </c>
      <c r="Q21" s="2" t="s">
        <v>1995</v>
      </c>
      <c r="R21" s="11" t="str">
        <f>HYPERLINK("http://slimages.macys.com/is/image/MCY/1508195 ")</f>
        <v xml:space="preserve">http://slimages.macys.com/is/image/MCY/1508195 </v>
      </c>
    </row>
    <row r="22" spans="1:18" ht="24.75" x14ac:dyDescent="0.25">
      <c r="A22" s="8" t="s">
        <v>1506</v>
      </c>
      <c r="B22" s="2" t="s">
        <v>1507</v>
      </c>
      <c r="C22" s="4">
        <v>1</v>
      </c>
      <c r="D22" s="6">
        <v>15</v>
      </c>
      <c r="E22" s="6">
        <v>15</v>
      </c>
      <c r="F22" s="9">
        <v>33.99</v>
      </c>
      <c r="G22" s="6">
        <v>33.99</v>
      </c>
      <c r="H22" s="4" t="s">
        <v>1508</v>
      </c>
      <c r="I22" s="2" t="s">
        <v>2017</v>
      </c>
      <c r="J22" s="10"/>
      <c r="K22" s="6"/>
      <c r="L22" s="6"/>
      <c r="M22" s="2" t="s">
        <v>1970</v>
      </c>
      <c r="N22" s="2" t="s">
        <v>2184</v>
      </c>
      <c r="O22" s="2" t="s">
        <v>2397</v>
      </c>
      <c r="P22" s="2" t="s">
        <v>1988</v>
      </c>
      <c r="Q22" s="2" t="s">
        <v>2095</v>
      </c>
      <c r="R22" s="11" t="str">
        <f>HYPERLINK("http://slimages.macys.com/is/image/MCY/13802703 ")</f>
        <v xml:space="preserve">http://slimages.macys.com/is/image/MCY/13802703 </v>
      </c>
    </row>
    <row r="23" spans="1:18" ht="24.75" x14ac:dyDescent="0.25">
      <c r="A23" s="8" t="s">
        <v>1509</v>
      </c>
      <c r="B23" s="2" t="s">
        <v>1510</v>
      </c>
      <c r="C23" s="4">
        <v>1</v>
      </c>
      <c r="D23" s="6">
        <v>17.8</v>
      </c>
      <c r="E23" s="6">
        <v>17.8</v>
      </c>
      <c r="F23" s="9">
        <v>44.99</v>
      </c>
      <c r="G23" s="6">
        <v>44.99</v>
      </c>
      <c r="H23" s="4" t="s">
        <v>1511</v>
      </c>
      <c r="I23" s="2" t="s">
        <v>2071</v>
      </c>
      <c r="J23" s="10"/>
      <c r="K23" s="6"/>
      <c r="L23" s="6"/>
      <c r="M23" s="2" t="s">
        <v>1970</v>
      </c>
      <c r="N23" s="2" t="s">
        <v>2032</v>
      </c>
      <c r="O23" s="2" t="s">
        <v>2300</v>
      </c>
      <c r="P23" s="2" t="s">
        <v>1988</v>
      </c>
      <c r="Q23" s="2"/>
      <c r="R23" s="11" t="str">
        <f>HYPERLINK("http://slimages.macys.com/is/image/MCY/8935602 ")</f>
        <v xml:space="preserve">http://slimages.macys.com/is/image/MCY/8935602 </v>
      </c>
    </row>
    <row r="24" spans="1:18" ht="24.75" x14ac:dyDescent="0.25">
      <c r="A24" s="8" t="s">
        <v>1512</v>
      </c>
      <c r="B24" s="2" t="s">
        <v>1513</v>
      </c>
      <c r="C24" s="4">
        <v>1</v>
      </c>
      <c r="D24" s="6">
        <v>15.21</v>
      </c>
      <c r="E24" s="6">
        <v>15.21</v>
      </c>
      <c r="F24" s="9">
        <v>44.99</v>
      </c>
      <c r="G24" s="6">
        <v>44.99</v>
      </c>
      <c r="H24" s="4">
        <v>278653537</v>
      </c>
      <c r="I24" s="2" t="s">
        <v>2177</v>
      </c>
      <c r="J24" s="10"/>
      <c r="K24" s="6"/>
      <c r="L24" s="6"/>
      <c r="M24" s="2" t="s">
        <v>1970</v>
      </c>
      <c r="N24" s="2" t="s">
        <v>2012</v>
      </c>
      <c r="O24" s="2" t="s">
        <v>1514</v>
      </c>
      <c r="P24" s="2" t="s">
        <v>1988</v>
      </c>
      <c r="Q24" s="2" t="s">
        <v>2668</v>
      </c>
      <c r="R24" s="11" t="str">
        <f>HYPERLINK("http://slimages.macys.com/is/image/MCY/11449256 ")</f>
        <v xml:space="preserve">http://slimages.macys.com/is/image/MCY/11449256 </v>
      </c>
    </row>
    <row r="25" spans="1:18" ht="36.75" x14ac:dyDescent="0.25">
      <c r="A25" s="8" t="s">
        <v>1515</v>
      </c>
      <c r="B25" s="2" t="s">
        <v>1516</v>
      </c>
      <c r="C25" s="4">
        <v>2</v>
      </c>
      <c r="D25" s="6">
        <v>17.13</v>
      </c>
      <c r="E25" s="6">
        <v>34.26</v>
      </c>
      <c r="F25" s="9">
        <v>41.99</v>
      </c>
      <c r="G25" s="6">
        <v>83.98</v>
      </c>
      <c r="H25" s="4" t="s">
        <v>1517</v>
      </c>
      <c r="I25" s="2" t="s">
        <v>2177</v>
      </c>
      <c r="J25" s="10"/>
      <c r="K25" s="6"/>
      <c r="L25" s="6"/>
      <c r="M25" s="2" t="s">
        <v>1970</v>
      </c>
      <c r="N25" s="2" t="s">
        <v>1986</v>
      </c>
      <c r="O25" s="2" t="s">
        <v>1987</v>
      </c>
      <c r="P25" s="2" t="s">
        <v>1988</v>
      </c>
      <c r="Q25" s="2" t="s">
        <v>1518</v>
      </c>
      <c r="R25" s="11" t="str">
        <f>HYPERLINK("http://slimages.macys.com/is/image/MCY/9767741 ")</f>
        <v xml:space="preserve">http://slimages.macys.com/is/image/MCY/9767741 </v>
      </c>
    </row>
    <row r="26" spans="1:18" ht="24.75" x14ac:dyDescent="0.25">
      <c r="A26" s="8" t="s">
        <v>1519</v>
      </c>
      <c r="B26" s="2" t="s">
        <v>1520</v>
      </c>
      <c r="C26" s="4">
        <v>1</v>
      </c>
      <c r="D26" s="6">
        <v>16.84</v>
      </c>
      <c r="E26" s="6">
        <v>16.84</v>
      </c>
      <c r="F26" s="9">
        <v>69.989999999999995</v>
      </c>
      <c r="G26" s="6">
        <v>69.989999999999995</v>
      </c>
      <c r="H26" s="4" t="s">
        <v>1521</v>
      </c>
      <c r="I26" s="2" t="s">
        <v>2011</v>
      </c>
      <c r="J26" s="10"/>
      <c r="K26" s="6"/>
      <c r="L26" s="6"/>
      <c r="M26" s="2" t="s">
        <v>2343</v>
      </c>
      <c r="N26" s="2" t="s">
        <v>1522</v>
      </c>
      <c r="O26" s="2" t="s">
        <v>1523</v>
      </c>
      <c r="P26" s="2" t="s">
        <v>2933</v>
      </c>
      <c r="Q26" s="2" t="s">
        <v>2063</v>
      </c>
      <c r="R26" s="11" t="str">
        <f>HYPERLINK("http://images.bloomingdales.com/is/image/BLM/10490226 ")</f>
        <v xml:space="preserve">http://images.bloomingdales.com/is/image/BLM/10490226 </v>
      </c>
    </row>
    <row r="27" spans="1:18" ht="24.75" x14ac:dyDescent="0.25">
      <c r="A27" s="8" t="s">
        <v>1524</v>
      </c>
      <c r="B27" s="2" t="s">
        <v>1525</v>
      </c>
      <c r="C27" s="4">
        <v>1</v>
      </c>
      <c r="D27" s="6">
        <v>16.260000000000002</v>
      </c>
      <c r="E27" s="6">
        <v>16.260000000000002</v>
      </c>
      <c r="F27" s="9">
        <v>44.99</v>
      </c>
      <c r="G27" s="6">
        <v>44.99</v>
      </c>
      <c r="H27" s="4" t="s">
        <v>1526</v>
      </c>
      <c r="I27" s="2" t="s">
        <v>2048</v>
      </c>
      <c r="J27" s="10"/>
      <c r="K27" s="6"/>
      <c r="L27" s="6"/>
      <c r="M27" s="2" t="s">
        <v>1970</v>
      </c>
      <c r="N27" s="2" t="s">
        <v>1986</v>
      </c>
      <c r="O27" s="2" t="s">
        <v>1994</v>
      </c>
      <c r="P27" s="2" t="s">
        <v>1988</v>
      </c>
      <c r="Q27" s="2" t="s">
        <v>2585</v>
      </c>
      <c r="R27" s="11" t="str">
        <f>HYPERLINK("http://slimages.macys.com/is/image/MCY/10005660 ")</f>
        <v xml:space="preserve">http://slimages.macys.com/is/image/MCY/10005660 </v>
      </c>
    </row>
    <row r="28" spans="1:18" ht="24.75" x14ac:dyDescent="0.25">
      <c r="A28" s="8" t="s">
        <v>1527</v>
      </c>
      <c r="B28" s="2" t="s">
        <v>1528</v>
      </c>
      <c r="C28" s="4">
        <v>1</v>
      </c>
      <c r="D28" s="6">
        <v>16.21</v>
      </c>
      <c r="E28" s="6">
        <v>16.21</v>
      </c>
      <c r="F28" s="9">
        <v>69.989999999999995</v>
      </c>
      <c r="G28" s="6">
        <v>69.989999999999995</v>
      </c>
      <c r="H28" s="4" t="s">
        <v>1529</v>
      </c>
      <c r="I28" s="2" t="s">
        <v>2177</v>
      </c>
      <c r="J28" s="10"/>
      <c r="K28" s="6"/>
      <c r="L28" s="6"/>
      <c r="M28" s="2" t="s">
        <v>2343</v>
      </c>
      <c r="N28" s="2" t="s">
        <v>1522</v>
      </c>
      <c r="O28" s="2" t="s">
        <v>1523</v>
      </c>
      <c r="P28" s="2" t="s">
        <v>2933</v>
      </c>
      <c r="Q28" s="2" t="s">
        <v>2063</v>
      </c>
      <c r="R28" s="11" t="str">
        <f>HYPERLINK("http://images.bloomingdales.com/is/image/BLM/10490226 ")</f>
        <v xml:space="preserve">http://images.bloomingdales.com/is/image/BLM/10490226 </v>
      </c>
    </row>
    <row r="29" spans="1:18" ht="24.75" x14ac:dyDescent="0.25">
      <c r="A29" s="8" t="s">
        <v>1530</v>
      </c>
      <c r="B29" s="2" t="s">
        <v>1531</v>
      </c>
      <c r="C29" s="4">
        <v>1</v>
      </c>
      <c r="D29" s="6">
        <v>13.67</v>
      </c>
      <c r="E29" s="6">
        <v>13.67</v>
      </c>
      <c r="F29" s="9">
        <v>32.99</v>
      </c>
      <c r="G29" s="6">
        <v>32.99</v>
      </c>
      <c r="H29" s="4" t="s">
        <v>1532</v>
      </c>
      <c r="I29" s="2" t="s">
        <v>2071</v>
      </c>
      <c r="J29" s="10"/>
      <c r="K29" s="6"/>
      <c r="L29" s="6"/>
      <c r="M29" s="2" t="s">
        <v>1970</v>
      </c>
      <c r="N29" s="2" t="s">
        <v>2012</v>
      </c>
      <c r="O29" s="2" t="s">
        <v>2088</v>
      </c>
      <c r="P29" s="2" t="s">
        <v>1988</v>
      </c>
      <c r="Q29" s="2" t="s">
        <v>1533</v>
      </c>
      <c r="R29" s="11" t="str">
        <f>HYPERLINK("http://slimages.macys.com/is/image/MCY/3675413 ")</f>
        <v xml:space="preserve">http://slimages.macys.com/is/image/MCY/3675413 </v>
      </c>
    </row>
    <row r="30" spans="1:18" ht="24.75" x14ac:dyDescent="0.25">
      <c r="A30" s="8" t="s">
        <v>1534</v>
      </c>
      <c r="B30" s="2" t="s">
        <v>1535</v>
      </c>
      <c r="C30" s="4">
        <v>1</v>
      </c>
      <c r="D30" s="6">
        <v>13.08</v>
      </c>
      <c r="E30" s="6">
        <v>13.08</v>
      </c>
      <c r="F30" s="9">
        <v>39.99</v>
      </c>
      <c r="G30" s="6">
        <v>39.99</v>
      </c>
      <c r="H30" s="4" t="s">
        <v>1536</v>
      </c>
      <c r="I30" s="2" t="s">
        <v>1993</v>
      </c>
      <c r="J30" s="10" t="s">
        <v>2107</v>
      </c>
      <c r="K30" s="6"/>
      <c r="L30" s="6"/>
      <c r="M30" s="2" t="s">
        <v>1970</v>
      </c>
      <c r="N30" s="2" t="s">
        <v>2012</v>
      </c>
      <c r="O30" s="2" t="s">
        <v>2062</v>
      </c>
      <c r="P30" s="2" t="s">
        <v>1988</v>
      </c>
      <c r="Q30" s="2" t="s">
        <v>1537</v>
      </c>
      <c r="R30" s="11" t="str">
        <f>HYPERLINK("http://slimages.macys.com/is/image/MCY/9456506 ")</f>
        <v xml:space="preserve">http://slimages.macys.com/is/image/MCY/9456506 </v>
      </c>
    </row>
    <row r="31" spans="1:18" ht="24.75" x14ac:dyDescent="0.25">
      <c r="A31" s="8" t="s">
        <v>1538</v>
      </c>
      <c r="B31" s="2" t="s">
        <v>1539</v>
      </c>
      <c r="C31" s="4">
        <v>1</v>
      </c>
      <c r="D31" s="6">
        <v>12.95</v>
      </c>
      <c r="E31" s="6">
        <v>12.95</v>
      </c>
      <c r="F31" s="9">
        <v>29.99</v>
      </c>
      <c r="G31" s="6">
        <v>29.99</v>
      </c>
      <c r="H31" s="4" t="s">
        <v>1540</v>
      </c>
      <c r="I31" s="2" t="s">
        <v>2261</v>
      </c>
      <c r="J31" s="10" t="s">
        <v>2107</v>
      </c>
      <c r="K31" s="6"/>
      <c r="L31" s="6"/>
      <c r="M31" s="2" t="s">
        <v>1970</v>
      </c>
      <c r="N31" s="2" t="s">
        <v>2012</v>
      </c>
      <c r="O31" s="2" t="s">
        <v>2062</v>
      </c>
      <c r="P31" s="2" t="s">
        <v>1988</v>
      </c>
      <c r="Q31" s="2" t="s">
        <v>2310</v>
      </c>
      <c r="R31" s="11" t="str">
        <f>HYPERLINK("http://slimages.macys.com/is/image/MCY/9456418 ")</f>
        <v xml:space="preserve">http://slimages.macys.com/is/image/MCY/9456418 </v>
      </c>
    </row>
    <row r="32" spans="1:18" ht="24.75" x14ac:dyDescent="0.25">
      <c r="A32" s="8" t="s">
        <v>1541</v>
      </c>
      <c r="B32" s="2" t="s">
        <v>1542</v>
      </c>
      <c r="C32" s="4">
        <v>1</v>
      </c>
      <c r="D32" s="6">
        <v>12.9</v>
      </c>
      <c r="E32" s="6">
        <v>12.9</v>
      </c>
      <c r="F32" s="9">
        <v>20.99</v>
      </c>
      <c r="G32" s="6">
        <v>20.99</v>
      </c>
      <c r="H32" s="4" t="s">
        <v>1543</v>
      </c>
      <c r="I32" s="2" t="s">
        <v>2026</v>
      </c>
      <c r="J32" s="10" t="s">
        <v>2564</v>
      </c>
      <c r="K32" s="6"/>
      <c r="L32" s="6"/>
      <c r="M32" s="2" t="s">
        <v>1970</v>
      </c>
      <c r="N32" s="2" t="s">
        <v>2005</v>
      </c>
      <c r="O32" s="2" t="s">
        <v>1544</v>
      </c>
      <c r="P32" s="2" t="s">
        <v>1988</v>
      </c>
      <c r="Q32" s="2" t="s">
        <v>1545</v>
      </c>
      <c r="R32" s="11" t="str">
        <f>HYPERLINK("http://slimages.macys.com/is/image/MCY/11780777 ")</f>
        <v xml:space="preserve">http://slimages.macys.com/is/image/MCY/11780777 </v>
      </c>
    </row>
    <row r="33" spans="1:18" ht="24.75" x14ac:dyDescent="0.25">
      <c r="A33" s="8" t="s">
        <v>1546</v>
      </c>
      <c r="B33" s="2" t="s">
        <v>1547</v>
      </c>
      <c r="C33" s="4">
        <v>1</v>
      </c>
      <c r="D33" s="6">
        <v>12.46</v>
      </c>
      <c r="E33" s="6">
        <v>12.46</v>
      </c>
      <c r="F33" s="9">
        <v>29.99</v>
      </c>
      <c r="G33" s="6">
        <v>29.99</v>
      </c>
      <c r="H33" s="4" t="s">
        <v>1548</v>
      </c>
      <c r="I33" s="2" t="s">
        <v>2071</v>
      </c>
      <c r="J33" s="10"/>
      <c r="K33" s="6"/>
      <c r="L33" s="6"/>
      <c r="M33" s="2" t="s">
        <v>1970</v>
      </c>
      <c r="N33" s="2" t="s">
        <v>2012</v>
      </c>
      <c r="O33" s="2" t="s">
        <v>2088</v>
      </c>
      <c r="P33" s="2" t="s">
        <v>1988</v>
      </c>
      <c r="Q33" s="2" t="s">
        <v>1549</v>
      </c>
      <c r="R33" s="11" t="str">
        <f>HYPERLINK("http://slimages.macys.com/is/image/MCY/3675430 ")</f>
        <v xml:space="preserve">http://slimages.macys.com/is/image/MCY/3675430 </v>
      </c>
    </row>
    <row r="34" spans="1:18" ht="24.75" x14ac:dyDescent="0.25">
      <c r="A34" s="8" t="s">
        <v>1550</v>
      </c>
      <c r="B34" s="2" t="s">
        <v>1551</v>
      </c>
      <c r="C34" s="4">
        <v>1</v>
      </c>
      <c r="D34" s="6">
        <v>11</v>
      </c>
      <c r="E34" s="6">
        <v>11</v>
      </c>
      <c r="F34" s="9">
        <v>19.989999999999998</v>
      </c>
      <c r="G34" s="6">
        <v>19.989999999999998</v>
      </c>
      <c r="H34" s="4" t="s">
        <v>1552</v>
      </c>
      <c r="I34" s="2" t="s">
        <v>2162</v>
      </c>
      <c r="J34" s="10" t="s">
        <v>2107</v>
      </c>
      <c r="K34" s="6"/>
      <c r="L34" s="6"/>
      <c r="M34" s="2" t="s">
        <v>1970</v>
      </c>
      <c r="N34" s="2" t="s">
        <v>2184</v>
      </c>
      <c r="O34" s="2" t="s">
        <v>919</v>
      </c>
      <c r="P34" s="2" t="s">
        <v>1988</v>
      </c>
      <c r="Q34" s="2" t="s">
        <v>2305</v>
      </c>
      <c r="R34" s="11" t="str">
        <f>HYPERLINK("http://slimages.macys.com/is/image/MCY/8152837 ")</f>
        <v xml:space="preserve">http://slimages.macys.com/is/image/MCY/8152837 </v>
      </c>
    </row>
    <row r="35" spans="1:18" ht="24.75" x14ac:dyDescent="0.25">
      <c r="A35" s="8" t="s">
        <v>1553</v>
      </c>
      <c r="B35" s="2" t="s">
        <v>1554</v>
      </c>
      <c r="C35" s="4">
        <v>1</v>
      </c>
      <c r="D35" s="6">
        <v>11.48</v>
      </c>
      <c r="E35" s="6">
        <v>11.48</v>
      </c>
      <c r="F35" s="9">
        <v>29.99</v>
      </c>
      <c r="G35" s="6">
        <v>29.99</v>
      </c>
      <c r="H35" s="4" t="s">
        <v>1555</v>
      </c>
      <c r="I35" s="2" t="s">
        <v>2026</v>
      </c>
      <c r="J35" s="10"/>
      <c r="K35" s="6"/>
      <c r="L35" s="6"/>
      <c r="M35" s="2" t="s">
        <v>1970</v>
      </c>
      <c r="N35" s="2" t="s">
        <v>2012</v>
      </c>
      <c r="O35" s="2" t="s">
        <v>2627</v>
      </c>
      <c r="P35" s="2" t="s">
        <v>1988</v>
      </c>
      <c r="Q35" s="2"/>
      <c r="R35" s="11" t="str">
        <f>HYPERLINK("http://slimages.macys.com/is/image/MCY/9596171 ")</f>
        <v xml:space="preserve">http://slimages.macys.com/is/image/MCY/9596171 </v>
      </c>
    </row>
    <row r="36" spans="1:18" ht="24.75" x14ac:dyDescent="0.25">
      <c r="A36" s="8" t="s">
        <v>1556</v>
      </c>
      <c r="B36" s="2" t="s">
        <v>1557</v>
      </c>
      <c r="C36" s="4">
        <v>2</v>
      </c>
      <c r="D36" s="6">
        <v>11.11</v>
      </c>
      <c r="E36" s="6">
        <v>22.22</v>
      </c>
      <c r="F36" s="9">
        <v>26.99</v>
      </c>
      <c r="G36" s="6">
        <v>53.98</v>
      </c>
      <c r="H36" s="4" t="s">
        <v>1558</v>
      </c>
      <c r="I36" s="2" t="s">
        <v>2071</v>
      </c>
      <c r="J36" s="10"/>
      <c r="K36" s="6"/>
      <c r="L36" s="6"/>
      <c r="M36" s="2" t="s">
        <v>1970</v>
      </c>
      <c r="N36" s="2" t="s">
        <v>2012</v>
      </c>
      <c r="O36" s="2" t="s">
        <v>2088</v>
      </c>
      <c r="P36" s="2" t="s">
        <v>1988</v>
      </c>
      <c r="Q36" s="2" t="s">
        <v>1559</v>
      </c>
      <c r="R36" s="11" t="str">
        <f>HYPERLINK("http://slimages.macys.com/is/image/MCY/3675392 ")</f>
        <v xml:space="preserve">http://slimages.macys.com/is/image/MCY/3675392 </v>
      </c>
    </row>
    <row r="37" spans="1:18" ht="24.75" x14ac:dyDescent="0.25">
      <c r="A37" s="8" t="s">
        <v>1560</v>
      </c>
      <c r="B37" s="2" t="s">
        <v>1561</v>
      </c>
      <c r="C37" s="4">
        <v>2</v>
      </c>
      <c r="D37" s="6">
        <v>9.68</v>
      </c>
      <c r="E37" s="6">
        <v>19.36</v>
      </c>
      <c r="F37" s="9">
        <v>19.989999999999998</v>
      </c>
      <c r="G37" s="6">
        <v>39.979999999999997</v>
      </c>
      <c r="H37" s="4">
        <v>42637</v>
      </c>
      <c r="I37" s="2" t="s">
        <v>2120</v>
      </c>
      <c r="J37" s="10" t="s">
        <v>2472</v>
      </c>
      <c r="K37" s="6"/>
      <c r="L37" s="6"/>
      <c r="M37" s="2" t="s">
        <v>1970</v>
      </c>
      <c r="N37" s="2" t="s">
        <v>2012</v>
      </c>
      <c r="O37" s="2" t="s">
        <v>2203</v>
      </c>
      <c r="P37" s="2" t="s">
        <v>1988</v>
      </c>
      <c r="Q37" s="2" t="s">
        <v>1995</v>
      </c>
      <c r="R37" s="11" t="str">
        <f>HYPERLINK("http://slimages.macys.com/is/image/MCY/10010583 ")</f>
        <v xml:space="preserve">http://slimages.macys.com/is/image/MCY/10010583 </v>
      </c>
    </row>
    <row r="38" spans="1:18" ht="24.75" x14ac:dyDescent="0.25">
      <c r="A38" s="8" t="s">
        <v>1562</v>
      </c>
      <c r="B38" s="2" t="s">
        <v>1563</v>
      </c>
      <c r="C38" s="4">
        <v>1</v>
      </c>
      <c r="D38" s="6">
        <v>7.29</v>
      </c>
      <c r="E38" s="6">
        <v>7.29</v>
      </c>
      <c r="F38" s="9">
        <v>19.989999999999998</v>
      </c>
      <c r="G38" s="6">
        <v>19.989999999999998</v>
      </c>
      <c r="H38" s="4" t="s">
        <v>1564</v>
      </c>
      <c r="I38" s="2" t="s">
        <v>2017</v>
      </c>
      <c r="J38" s="10"/>
      <c r="K38" s="6"/>
      <c r="L38" s="6"/>
      <c r="M38" s="2" t="s">
        <v>1970</v>
      </c>
      <c r="N38" s="2" t="s">
        <v>2184</v>
      </c>
      <c r="O38" s="2" t="s">
        <v>956</v>
      </c>
      <c r="P38" s="2" t="s">
        <v>1988</v>
      </c>
      <c r="Q38" s="2" t="s">
        <v>1995</v>
      </c>
      <c r="R38" s="11" t="str">
        <f>HYPERLINK("http://slimages.macys.com/is/image/MCY/10020118 ")</f>
        <v xml:space="preserve">http://slimages.macys.com/is/image/MCY/10020118 </v>
      </c>
    </row>
    <row r="39" spans="1:18" ht="24.75" x14ac:dyDescent="0.25">
      <c r="A39" s="8" t="s">
        <v>1565</v>
      </c>
      <c r="B39" s="2" t="s">
        <v>1566</v>
      </c>
      <c r="C39" s="4">
        <v>4</v>
      </c>
      <c r="D39" s="6">
        <v>6.45</v>
      </c>
      <c r="E39" s="6">
        <v>25.8</v>
      </c>
      <c r="F39" s="9">
        <v>17.989999999999998</v>
      </c>
      <c r="G39" s="6">
        <v>71.959999999999994</v>
      </c>
      <c r="H39" s="4" t="s">
        <v>1567</v>
      </c>
      <c r="I39" s="2" t="s">
        <v>2087</v>
      </c>
      <c r="J39" s="10"/>
      <c r="K39" s="6"/>
      <c r="L39" s="6"/>
      <c r="M39" s="2" t="s">
        <v>1970</v>
      </c>
      <c r="N39" s="2" t="s">
        <v>2012</v>
      </c>
      <c r="O39" s="2" t="s">
        <v>2416</v>
      </c>
      <c r="P39" s="2" t="s">
        <v>1988</v>
      </c>
      <c r="Q39" s="2" t="s">
        <v>2688</v>
      </c>
      <c r="R39" s="11" t="str">
        <f>HYPERLINK("http://slimages.macys.com/is/image/MCY/913783 ")</f>
        <v xml:space="preserve">http://slimages.macys.com/is/image/MCY/913783 </v>
      </c>
    </row>
    <row r="40" spans="1:18" ht="24.75" x14ac:dyDescent="0.25">
      <c r="A40" s="8" t="s">
        <v>1568</v>
      </c>
      <c r="B40" s="2" t="s">
        <v>1569</v>
      </c>
      <c r="C40" s="4">
        <v>1</v>
      </c>
      <c r="D40" s="6">
        <v>5.5</v>
      </c>
      <c r="E40" s="6">
        <v>5.5</v>
      </c>
      <c r="F40" s="9">
        <v>14.99</v>
      </c>
      <c r="G40" s="6">
        <v>14.99</v>
      </c>
      <c r="H40" s="4" t="s">
        <v>1570</v>
      </c>
      <c r="I40" s="2"/>
      <c r="J40" s="10" t="s">
        <v>1571</v>
      </c>
      <c r="K40" s="6"/>
      <c r="L40" s="6"/>
      <c r="M40" s="2" t="s">
        <v>1970</v>
      </c>
      <c r="N40" s="2" t="s">
        <v>2184</v>
      </c>
      <c r="O40" s="2" t="s">
        <v>1081</v>
      </c>
      <c r="P40" s="2" t="s">
        <v>2039</v>
      </c>
      <c r="Q40" s="2"/>
      <c r="R40" s="11" t="str">
        <f>HYPERLINK("http://slimages.macys.com/is/image/MCY/8903558 ")</f>
        <v xml:space="preserve">http://slimages.macys.com/is/image/MCY/8903558 </v>
      </c>
    </row>
    <row r="41" spans="1:18" ht="36.75" x14ac:dyDescent="0.25">
      <c r="A41" s="8" t="s">
        <v>1572</v>
      </c>
      <c r="B41" s="2" t="s">
        <v>1573</v>
      </c>
      <c r="C41" s="4">
        <v>7</v>
      </c>
      <c r="D41" s="6">
        <v>5.8</v>
      </c>
      <c r="E41" s="6">
        <v>40.6</v>
      </c>
      <c r="F41" s="9">
        <v>14.99</v>
      </c>
      <c r="G41" s="6">
        <v>104.93</v>
      </c>
      <c r="H41" s="4" t="s">
        <v>1574</v>
      </c>
      <c r="I41" s="2" t="s">
        <v>2026</v>
      </c>
      <c r="J41" s="10" t="s">
        <v>2107</v>
      </c>
      <c r="K41" s="6"/>
      <c r="L41" s="6"/>
      <c r="M41" s="2" t="s">
        <v>1970</v>
      </c>
      <c r="N41" s="2" t="s">
        <v>2005</v>
      </c>
      <c r="O41" s="2" t="s">
        <v>1575</v>
      </c>
      <c r="P41" s="2" t="s">
        <v>2335</v>
      </c>
      <c r="Q41" s="2" t="s">
        <v>1576</v>
      </c>
      <c r="R41" s="11" t="str">
        <f>HYPERLINK("http://slimages.macys.com/is/image/MCY/8355136 ")</f>
        <v xml:space="preserve">http://slimages.macys.com/is/image/MCY/8355136 </v>
      </c>
    </row>
    <row r="42" spans="1:18" ht="24.75" x14ac:dyDescent="0.25">
      <c r="A42" s="8" t="s">
        <v>1577</v>
      </c>
      <c r="B42" s="2" t="s">
        <v>1578</v>
      </c>
      <c r="C42" s="4">
        <v>1</v>
      </c>
      <c r="D42" s="6">
        <v>5.48</v>
      </c>
      <c r="E42" s="6">
        <v>5.48</v>
      </c>
      <c r="F42" s="9">
        <v>14.99</v>
      </c>
      <c r="G42" s="6">
        <v>14.99</v>
      </c>
      <c r="H42" s="4">
        <v>1002362000</v>
      </c>
      <c r="I42" s="2" t="s">
        <v>2077</v>
      </c>
      <c r="J42" s="10" t="s">
        <v>1571</v>
      </c>
      <c r="K42" s="6"/>
      <c r="L42" s="6"/>
      <c r="M42" s="2" t="s">
        <v>1970</v>
      </c>
      <c r="N42" s="2" t="s">
        <v>2396</v>
      </c>
      <c r="O42" s="2" t="s">
        <v>1579</v>
      </c>
      <c r="P42" s="2" t="s">
        <v>2039</v>
      </c>
      <c r="Q42" s="2" t="s">
        <v>1995</v>
      </c>
      <c r="R42" s="11" t="str">
        <f>HYPERLINK("http://slimages.macys.com/is/image/MCY/9257533 ")</f>
        <v xml:space="preserve">http://slimages.macys.com/is/image/MCY/9257533 </v>
      </c>
    </row>
    <row r="43" spans="1:18" ht="24.75" x14ac:dyDescent="0.25">
      <c r="A43" s="8" t="s">
        <v>1580</v>
      </c>
      <c r="B43" s="2" t="s">
        <v>1581</v>
      </c>
      <c r="C43" s="4">
        <v>2</v>
      </c>
      <c r="D43" s="6">
        <v>5.45</v>
      </c>
      <c r="E43" s="6">
        <v>10.9</v>
      </c>
      <c r="F43" s="9">
        <v>14.99</v>
      </c>
      <c r="G43" s="6">
        <v>29.98</v>
      </c>
      <c r="H43" s="4" t="s">
        <v>1582</v>
      </c>
      <c r="I43" s="2" t="s">
        <v>2120</v>
      </c>
      <c r="J43" s="10" t="s">
        <v>1571</v>
      </c>
      <c r="K43" s="6"/>
      <c r="L43" s="6"/>
      <c r="M43" s="2" t="s">
        <v>1970</v>
      </c>
      <c r="N43" s="2" t="s">
        <v>2184</v>
      </c>
      <c r="O43" s="2" t="s">
        <v>2967</v>
      </c>
      <c r="P43" s="2" t="s">
        <v>1988</v>
      </c>
      <c r="Q43" s="2" t="s">
        <v>2095</v>
      </c>
      <c r="R43" s="11" t="str">
        <f>HYPERLINK("http://slimages.macys.com/is/image/MCY/9960722 ")</f>
        <v xml:space="preserve">http://slimages.macys.com/is/image/MCY/9960722 </v>
      </c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9"/>
  <sheetViews>
    <sheetView topLeftCell="A28" workbookViewId="0">
      <selection activeCell="J47" sqref="J47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5.425781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48.75" x14ac:dyDescent="0.25">
      <c r="A2" s="8" t="s">
        <v>1583</v>
      </c>
      <c r="B2" s="2" t="s">
        <v>1584</v>
      </c>
      <c r="C2" s="4">
        <v>1</v>
      </c>
      <c r="D2" s="6">
        <v>85.99</v>
      </c>
      <c r="E2" s="6">
        <v>85.99</v>
      </c>
      <c r="F2" s="9">
        <v>199.99</v>
      </c>
      <c r="G2" s="6">
        <v>199.99</v>
      </c>
      <c r="H2" s="4" t="s">
        <v>1585</v>
      </c>
      <c r="I2" s="2" t="s">
        <v>2283</v>
      </c>
      <c r="J2" s="10"/>
      <c r="K2" s="6"/>
      <c r="L2" s="6"/>
      <c r="M2" s="2" t="s">
        <v>1970</v>
      </c>
      <c r="N2" s="2" t="s">
        <v>2684</v>
      </c>
      <c r="O2" s="2" t="s">
        <v>1586</v>
      </c>
      <c r="P2" s="2" t="s">
        <v>1988</v>
      </c>
      <c r="Q2" s="2" t="s">
        <v>1587</v>
      </c>
      <c r="R2" s="11" t="str">
        <f>HYPERLINK("http://slimages.macys.com/is/image/MCY/8069442 ")</f>
        <v xml:space="preserve">http://slimages.macys.com/is/image/MCY/8069442 </v>
      </c>
    </row>
    <row r="3" spans="1:18" ht="24.75" x14ac:dyDescent="0.25">
      <c r="A3" s="8" t="s">
        <v>1588</v>
      </c>
      <c r="B3" s="2" t="s">
        <v>1589</v>
      </c>
      <c r="C3" s="4">
        <v>1</v>
      </c>
      <c r="D3" s="6">
        <v>58.6</v>
      </c>
      <c r="E3" s="6">
        <v>58.6</v>
      </c>
      <c r="F3" s="9">
        <v>179.99</v>
      </c>
      <c r="G3" s="6">
        <v>179.99</v>
      </c>
      <c r="H3" s="4" t="s">
        <v>1590</v>
      </c>
      <c r="I3" s="2" t="s">
        <v>2026</v>
      </c>
      <c r="J3" s="10"/>
      <c r="K3" s="6"/>
      <c r="L3" s="6"/>
      <c r="M3" s="2" t="s">
        <v>1970</v>
      </c>
      <c r="N3" s="2" t="s">
        <v>2386</v>
      </c>
      <c r="O3" s="2" t="s">
        <v>2932</v>
      </c>
      <c r="P3" s="2" t="s">
        <v>1988</v>
      </c>
      <c r="Q3" s="2"/>
      <c r="R3" s="11" t="str">
        <f>HYPERLINK("http://slimages.macys.com/is/image/MCY/11320993 ")</f>
        <v xml:space="preserve">http://slimages.macys.com/is/image/MCY/11320993 </v>
      </c>
    </row>
    <row r="4" spans="1:18" ht="24.75" x14ac:dyDescent="0.25">
      <c r="A4" s="8" t="s">
        <v>1591</v>
      </c>
      <c r="B4" s="2" t="s">
        <v>1592</v>
      </c>
      <c r="C4" s="4">
        <v>1</v>
      </c>
      <c r="D4" s="6">
        <v>53.78</v>
      </c>
      <c r="E4" s="6">
        <v>53.78</v>
      </c>
      <c r="F4" s="9">
        <v>59.99</v>
      </c>
      <c r="G4" s="6">
        <v>59.99</v>
      </c>
      <c r="H4" s="4" t="s">
        <v>1593</v>
      </c>
      <c r="I4" s="2" t="s">
        <v>2430</v>
      </c>
      <c r="J4" s="10"/>
      <c r="K4" s="6"/>
      <c r="L4" s="6"/>
      <c r="M4" s="2" t="s">
        <v>1970</v>
      </c>
      <c r="N4" s="2" t="s">
        <v>2684</v>
      </c>
      <c r="O4" s="2" t="s">
        <v>1017</v>
      </c>
      <c r="P4" s="2" t="s">
        <v>1988</v>
      </c>
      <c r="Q4" s="2" t="s">
        <v>1594</v>
      </c>
      <c r="R4" s="11" t="str">
        <f>HYPERLINK("http://slimages.macys.com/is/image/MCY/3210391 ")</f>
        <v xml:space="preserve">http://slimages.macys.com/is/image/MCY/3210391 </v>
      </c>
    </row>
    <row r="5" spans="1:18" ht="24.75" x14ac:dyDescent="0.25">
      <c r="A5" s="8" t="s">
        <v>1595</v>
      </c>
      <c r="B5" s="2" t="s">
        <v>1596</v>
      </c>
      <c r="C5" s="4">
        <v>1</v>
      </c>
      <c r="D5" s="6">
        <v>45</v>
      </c>
      <c r="E5" s="6">
        <v>45</v>
      </c>
      <c r="F5" s="9">
        <v>89.99</v>
      </c>
      <c r="G5" s="6">
        <v>89.99</v>
      </c>
      <c r="H5" s="4" t="s">
        <v>1597</v>
      </c>
      <c r="I5" s="2" t="s">
        <v>2603</v>
      </c>
      <c r="J5" s="10"/>
      <c r="K5" s="6"/>
      <c r="L5" s="6"/>
      <c r="M5" s="2" t="s">
        <v>1970</v>
      </c>
      <c r="N5" s="2" t="s">
        <v>805</v>
      </c>
      <c r="O5" s="2" t="s">
        <v>2426</v>
      </c>
      <c r="P5" s="2" t="s">
        <v>1988</v>
      </c>
      <c r="Q5" s="2" t="s">
        <v>2305</v>
      </c>
      <c r="R5" s="11" t="str">
        <f>HYPERLINK("http://slimages.macys.com/is/image/MCY/10539739 ")</f>
        <v xml:space="preserve">http://slimages.macys.com/is/image/MCY/10539739 </v>
      </c>
    </row>
    <row r="6" spans="1:18" ht="24.75" x14ac:dyDescent="0.25">
      <c r="A6" s="8" t="s">
        <v>1598</v>
      </c>
      <c r="B6" s="2" t="s">
        <v>1599</v>
      </c>
      <c r="C6" s="4">
        <v>1</v>
      </c>
      <c r="D6" s="6">
        <v>40.03</v>
      </c>
      <c r="E6" s="6">
        <v>40.03</v>
      </c>
      <c r="F6" s="9">
        <v>79.989999999999995</v>
      </c>
      <c r="G6" s="6">
        <v>79.989999999999995</v>
      </c>
      <c r="H6" s="4" t="s">
        <v>1600</v>
      </c>
      <c r="I6" s="2" t="s">
        <v>2120</v>
      </c>
      <c r="J6" s="10"/>
      <c r="K6" s="6"/>
      <c r="L6" s="6"/>
      <c r="M6" s="2" t="s">
        <v>1970</v>
      </c>
      <c r="N6" s="2" t="s">
        <v>2684</v>
      </c>
      <c r="O6" s="2" t="s">
        <v>1010</v>
      </c>
      <c r="P6" s="2"/>
      <c r="Q6" s="2"/>
      <c r="R6" s="11" t="str">
        <f>HYPERLINK("http://slimages.macys.com/is/image/MCY/3716597 ")</f>
        <v xml:space="preserve">http://slimages.macys.com/is/image/MCY/3716597 </v>
      </c>
    </row>
    <row r="7" spans="1:18" ht="36.75" x14ac:dyDescent="0.25">
      <c r="A7" s="8" t="s">
        <v>1601</v>
      </c>
      <c r="B7" s="2" t="s">
        <v>1602</v>
      </c>
      <c r="C7" s="4">
        <v>1</v>
      </c>
      <c r="D7" s="6">
        <v>39.54</v>
      </c>
      <c r="E7" s="6">
        <v>39.54</v>
      </c>
      <c r="F7" s="9">
        <v>89.99</v>
      </c>
      <c r="G7" s="6">
        <v>89.99</v>
      </c>
      <c r="H7" s="4" t="s">
        <v>1603</v>
      </c>
      <c r="I7" s="2" t="s">
        <v>2011</v>
      </c>
      <c r="J7" s="10"/>
      <c r="K7" s="6"/>
      <c r="L7" s="6"/>
      <c r="M7" s="2" t="s">
        <v>1970</v>
      </c>
      <c r="N7" s="2" t="s">
        <v>2684</v>
      </c>
      <c r="O7" s="2" t="s">
        <v>1010</v>
      </c>
      <c r="P7" s="2" t="s">
        <v>1988</v>
      </c>
      <c r="Q7" s="2" t="s">
        <v>1011</v>
      </c>
      <c r="R7" s="11" t="str">
        <f>HYPERLINK("http://slimages.macys.com/is/image/MCY/3519344 ")</f>
        <v xml:space="preserve">http://slimages.macys.com/is/image/MCY/3519344 </v>
      </c>
    </row>
    <row r="8" spans="1:18" ht="24.75" x14ac:dyDescent="0.25">
      <c r="A8" s="8" t="s">
        <v>1604</v>
      </c>
      <c r="B8" s="2" t="s">
        <v>1605</v>
      </c>
      <c r="C8" s="4">
        <v>1</v>
      </c>
      <c r="D8" s="6">
        <v>38.700000000000003</v>
      </c>
      <c r="E8" s="6">
        <v>38.700000000000003</v>
      </c>
      <c r="F8" s="9">
        <v>89.99</v>
      </c>
      <c r="G8" s="6">
        <v>89.99</v>
      </c>
      <c r="H8" s="4" t="s">
        <v>1606</v>
      </c>
      <c r="I8" s="2" t="s">
        <v>2026</v>
      </c>
      <c r="J8" s="10" t="s">
        <v>2456</v>
      </c>
      <c r="K8" s="6"/>
      <c r="L8" s="6"/>
      <c r="M8" s="2" t="s">
        <v>1970</v>
      </c>
      <c r="N8" s="2" t="s">
        <v>2684</v>
      </c>
      <c r="O8" s="2" t="s">
        <v>1017</v>
      </c>
      <c r="P8" s="2" t="s">
        <v>1988</v>
      </c>
      <c r="Q8" s="2" t="s">
        <v>1065</v>
      </c>
      <c r="R8" s="11" t="str">
        <f>HYPERLINK("http://slimages.macys.com/is/image/MCY/8069473 ")</f>
        <v xml:space="preserve">http://slimages.macys.com/is/image/MCY/8069473 </v>
      </c>
    </row>
    <row r="9" spans="1:18" ht="72.75" x14ac:dyDescent="0.25">
      <c r="A9" s="8" t="s">
        <v>1607</v>
      </c>
      <c r="B9" s="2" t="s">
        <v>1608</v>
      </c>
      <c r="C9" s="4">
        <v>2</v>
      </c>
      <c r="D9" s="6">
        <v>38.54</v>
      </c>
      <c r="E9" s="6">
        <v>77.08</v>
      </c>
      <c r="F9" s="9">
        <v>99.99</v>
      </c>
      <c r="G9" s="6">
        <v>199.98</v>
      </c>
      <c r="H9" s="4" t="s">
        <v>1609</v>
      </c>
      <c r="I9" s="2" t="s">
        <v>2071</v>
      </c>
      <c r="J9" s="10"/>
      <c r="K9" s="6"/>
      <c r="L9" s="6"/>
      <c r="M9" s="2" t="s">
        <v>1970</v>
      </c>
      <c r="N9" s="2" t="s">
        <v>2295</v>
      </c>
      <c r="O9" s="2" t="s">
        <v>1219</v>
      </c>
      <c r="P9" s="2" t="s">
        <v>1988</v>
      </c>
      <c r="Q9" s="2" t="s">
        <v>1610</v>
      </c>
      <c r="R9" s="11" t="str">
        <f>HYPERLINK("http://slimages.macys.com/is/image/MCY/9936621 ")</f>
        <v xml:space="preserve">http://slimages.macys.com/is/image/MCY/9936621 </v>
      </c>
    </row>
    <row r="10" spans="1:18" ht="36.75" x14ac:dyDescent="0.25">
      <c r="A10" s="8" t="s">
        <v>1611</v>
      </c>
      <c r="B10" s="2" t="s">
        <v>1612</v>
      </c>
      <c r="C10" s="4">
        <v>1</v>
      </c>
      <c r="D10" s="6">
        <v>37.869999999999997</v>
      </c>
      <c r="E10" s="6">
        <v>37.869999999999997</v>
      </c>
      <c r="F10" s="9">
        <v>89.99</v>
      </c>
      <c r="G10" s="6">
        <v>89.99</v>
      </c>
      <c r="H10" s="4" t="s">
        <v>1613</v>
      </c>
      <c r="I10" s="2" t="s">
        <v>2358</v>
      </c>
      <c r="J10" s="10"/>
      <c r="K10" s="6"/>
      <c r="L10" s="6"/>
      <c r="M10" s="2" t="s">
        <v>1970</v>
      </c>
      <c r="N10" s="2" t="s">
        <v>2295</v>
      </c>
      <c r="O10" s="2" t="s">
        <v>1219</v>
      </c>
      <c r="P10" s="2" t="s">
        <v>1988</v>
      </c>
      <c r="Q10" s="2" t="s">
        <v>1614</v>
      </c>
      <c r="R10" s="11" t="str">
        <f>HYPERLINK("http://slimages.macys.com/is/image/MCY/9705146 ")</f>
        <v xml:space="preserve">http://slimages.macys.com/is/image/MCY/9705146 </v>
      </c>
    </row>
    <row r="11" spans="1:18" ht="24.75" x14ac:dyDescent="0.25">
      <c r="A11" s="8" t="s">
        <v>1615</v>
      </c>
      <c r="B11" s="2" t="s">
        <v>1616</v>
      </c>
      <c r="C11" s="4">
        <v>3</v>
      </c>
      <c r="D11" s="6">
        <v>37.19</v>
      </c>
      <c r="E11" s="6">
        <v>111.57</v>
      </c>
      <c r="F11" s="9">
        <v>89.99</v>
      </c>
      <c r="G11" s="6">
        <v>269.97000000000003</v>
      </c>
      <c r="H11" s="4">
        <v>100008262</v>
      </c>
      <c r="I11" s="2" t="s">
        <v>2026</v>
      </c>
      <c r="J11" s="10"/>
      <c r="K11" s="6"/>
      <c r="L11" s="6"/>
      <c r="M11" s="2" t="s">
        <v>1970</v>
      </c>
      <c r="N11" s="2" t="s">
        <v>2684</v>
      </c>
      <c r="O11" s="2" t="s">
        <v>1586</v>
      </c>
      <c r="P11" s="2" t="s">
        <v>1988</v>
      </c>
      <c r="Q11" s="2" t="s">
        <v>1617</v>
      </c>
      <c r="R11" s="11" t="str">
        <f>HYPERLINK("http://slimages.macys.com/is/image/MCY/9019673 ")</f>
        <v xml:space="preserve">http://slimages.macys.com/is/image/MCY/9019673 </v>
      </c>
    </row>
    <row r="12" spans="1:18" ht="24.75" x14ac:dyDescent="0.25">
      <c r="A12" s="8" t="s">
        <v>1618</v>
      </c>
      <c r="B12" s="2" t="s">
        <v>1619</v>
      </c>
      <c r="C12" s="4">
        <v>1</v>
      </c>
      <c r="D12" s="6">
        <v>35.770000000000003</v>
      </c>
      <c r="E12" s="6">
        <v>35.770000000000003</v>
      </c>
      <c r="F12" s="9">
        <v>89.99</v>
      </c>
      <c r="G12" s="6">
        <v>89.99</v>
      </c>
      <c r="H12" s="4" t="s">
        <v>1620</v>
      </c>
      <c r="I12" s="2" t="s">
        <v>2031</v>
      </c>
      <c r="J12" s="10"/>
      <c r="K12" s="6"/>
      <c r="L12" s="6"/>
      <c r="M12" s="2" t="s">
        <v>1970</v>
      </c>
      <c r="N12" s="2" t="s">
        <v>2684</v>
      </c>
      <c r="O12" s="2" t="s">
        <v>1621</v>
      </c>
      <c r="P12" s="2" t="s">
        <v>1988</v>
      </c>
      <c r="Q12" s="2"/>
      <c r="R12" s="11" t="str">
        <f>HYPERLINK("http://slimages.macys.com/is/image/MCY/8179391 ")</f>
        <v xml:space="preserve">http://slimages.macys.com/is/image/MCY/8179391 </v>
      </c>
    </row>
    <row r="13" spans="1:18" ht="24.75" x14ac:dyDescent="0.25">
      <c r="A13" s="8" t="s">
        <v>1622</v>
      </c>
      <c r="B13" s="2" t="s">
        <v>1623</v>
      </c>
      <c r="C13" s="4">
        <v>1</v>
      </c>
      <c r="D13" s="6">
        <v>35.200000000000003</v>
      </c>
      <c r="E13" s="6">
        <v>35.200000000000003</v>
      </c>
      <c r="F13" s="9">
        <v>79.989999999999995</v>
      </c>
      <c r="G13" s="6">
        <v>79.989999999999995</v>
      </c>
      <c r="H13" s="4" t="s">
        <v>1624</v>
      </c>
      <c r="I13" s="2" t="s">
        <v>2261</v>
      </c>
      <c r="J13" s="10"/>
      <c r="K13" s="6"/>
      <c r="L13" s="6"/>
      <c r="M13" s="2" t="s">
        <v>1970</v>
      </c>
      <c r="N13" s="2" t="s">
        <v>2684</v>
      </c>
      <c r="O13" s="2" t="s">
        <v>1625</v>
      </c>
      <c r="P13" s="2"/>
      <c r="Q13" s="2"/>
      <c r="R13" s="11" t="str">
        <f>HYPERLINK("http://slimages.macys.com/is/image/MCY/8069513 ")</f>
        <v xml:space="preserve">http://slimages.macys.com/is/image/MCY/8069513 </v>
      </c>
    </row>
    <row r="14" spans="1:18" ht="24.75" x14ac:dyDescent="0.25">
      <c r="A14" s="8" t="s">
        <v>1626</v>
      </c>
      <c r="B14" s="2" t="s">
        <v>1627</v>
      </c>
      <c r="C14" s="4">
        <v>1</v>
      </c>
      <c r="D14" s="6">
        <v>35.200000000000003</v>
      </c>
      <c r="E14" s="6">
        <v>35.200000000000003</v>
      </c>
      <c r="F14" s="9">
        <v>79.989999999999995</v>
      </c>
      <c r="G14" s="6">
        <v>79.989999999999995</v>
      </c>
      <c r="H14" s="4" t="s">
        <v>1628</v>
      </c>
      <c r="I14" s="2" t="s">
        <v>2261</v>
      </c>
      <c r="J14" s="10" t="s">
        <v>2456</v>
      </c>
      <c r="K14" s="6"/>
      <c r="L14" s="6"/>
      <c r="M14" s="2" t="s">
        <v>1970</v>
      </c>
      <c r="N14" s="2" t="s">
        <v>2684</v>
      </c>
      <c r="O14" s="2" t="s">
        <v>1625</v>
      </c>
      <c r="P14" s="2"/>
      <c r="Q14" s="2"/>
      <c r="R14" s="11" t="str">
        <f>HYPERLINK("http://slimages.macys.com/is/image/MCY/8069515 ")</f>
        <v xml:space="preserve">http://slimages.macys.com/is/image/MCY/8069515 </v>
      </c>
    </row>
    <row r="15" spans="1:18" ht="72.75" x14ac:dyDescent="0.25">
      <c r="A15" s="8" t="s">
        <v>1629</v>
      </c>
      <c r="B15" s="2" t="s">
        <v>1630</v>
      </c>
      <c r="C15" s="4">
        <v>1</v>
      </c>
      <c r="D15" s="6">
        <v>30.45</v>
      </c>
      <c r="E15" s="6">
        <v>30.45</v>
      </c>
      <c r="F15" s="9">
        <v>69.989999999999995</v>
      </c>
      <c r="G15" s="6">
        <v>69.989999999999995</v>
      </c>
      <c r="H15" s="4" t="s">
        <v>1631</v>
      </c>
      <c r="I15" s="2" t="s">
        <v>2026</v>
      </c>
      <c r="J15" s="10"/>
      <c r="K15" s="6"/>
      <c r="L15" s="6"/>
      <c r="M15" s="2" t="s">
        <v>1970</v>
      </c>
      <c r="N15" s="2" t="s">
        <v>2684</v>
      </c>
      <c r="O15" s="2" t="s">
        <v>1010</v>
      </c>
      <c r="P15" s="2" t="s">
        <v>1988</v>
      </c>
      <c r="Q15" s="2" t="s">
        <v>1632</v>
      </c>
      <c r="R15" s="11" t="str">
        <f>HYPERLINK("http://slimages.macys.com/is/image/MCY/1760307 ")</f>
        <v xml:space="preserve">http://slimages.macys.com/is/image/MCY/1760307 </v>
      </c>
    </row>
    <row r="16" spans="1:18" ht="24.75" x14ac:dyDescent="0.25">
      <c r="A16" s="8" t="s">
        <v>1633</v>
      </c>
      <c r="B16" s="2" t="s">
        <v>1634</v>
      </c>
      <c r="C16" s="4">
        <v>1</v>
      </c>
      <c r="D16" s="6">
        <v>24.35</v>
      </c>
      <c r="E16" s="6">
        <v>24.35</v>
      </c>
      <c r="F16" s="9">
        <v>59.99</v>
      </c>
      <c r="G16" s="6">
        <v>59.99</v>
      </c>
      <c r="H16" s="4" t="s">
        <v>1635</v>
      </c>
      <c r="I16" s="2" t="s">
        <v>2071</v>
      </c>
      <c r="J16" s="10" t="s">
        <v>1080</v>
      </c>
      <c r="K16" s="6"/>
      <c r="L16" s="6"/>
      <c r="M16" s="2" t="s">
        <v>1970</v>
      </c>
      <c r="N16" s="2" t="s">
        <v>2396</v>
      </c>
      <c r="O16" s="2" t="s">
        <v>1010</v>
      </c>
      <c r="P16" s="2" t="s">
        <v>1988</v>
      </c>
      <c r="Q16" s="2" t="s">
        <v>2095</v>
      </c>
      <c r="R16" s="11" t="str">
        <f>HYPERLINK("http://slimages.macys.com/is/image/MCY/3534387 ")</f>
        <v xml:space="preserve">http://slimages.macys.com/is/image/MCY/3534387 </v>
      </c>
    </row>
    <row r="17" spans="1:18" ht="72.75" x14ac:dyDescent="0.25">
      <c r="A17" s="8" t="s">
        <v>1636</v>
      </c>
      <c r="B17" s="2" t="s">
        <v>1637</v>
      </c>
      <c r="C17" s="4">
        <v>1</v>
      </c>
      <c r="D17" s="6">
        <v>28.82</v>
      </c>
      <c r="E17" s="6">
        <v>28.82</v>
      </c>
      <c r="F17" s="9">
        <v>89.99</v>
      </c>
      <c r="G17" s="6">
        <v>89.99</v>
      </c>
      <c r="H17" s="4" t="s">
        <v>1638</v>
      </c>
      <c r="I17" s="2" t="s">
        <v>2071</v>
      </c>
      <c r="J17" s="10"/>
      <c r="K17" s="6"/>
      <c r="L17" s="6"/>
      <c r="M17" s="2" t="s">
        <v>1970</v>
      </c>
      <c r="N17" s="2" t="s">
        <v>2295</v>
      </c>
      <c r="O17" s="2" t="s">
        <v>1219</v>
      </c>
      <c r="P17" s="2" t="s">
        <v>1988</v>
      </c>
      <c r="Q17" s="2" t="s">
        <v>1639</v>
      </c>
      <c r="R17" s="11" t="str">
        <f>HYPERLINK("http://slimages.macys.com/is/image/MCY/9936621 ")</f>
        <v xml:space="preserve">http://slimages.macys.com/is/image/MCY/9936621 </v>
      </c>
    </row>
    <row r="18" spans="1:18" ht="24.75" x14ac:dyDescent="0.25">
      <c r="A18" s="8" t="s">
        <v>1640</v>
      </c>
      <c r="B18" s="2" t="s">
        <v>1641</v>
      </c>
      <c r="C18" s="4">
        <v>1</v>
      </c>
      <c r="D18" s="6">
        <v>27.8</v>
      </c>
      <c r="E18" s="6">
        <v>27.8</v>
      </c>
      <c r="F18" s="9">
        <v>89.99</v>
      </c>
      <c r="G18" s="6">
        <v>89.99</v>
      </c>
      <c r="H18" s="4" t="s">
        <v>1642</v>
      </c>
      <c r="I18" s="2" t="s">
        <v>2430</v>
      </c>
      <c r="J18" s="10" t="s">
        <v>2425</v>
      </c>
      <c r="K18" s="6"/>
      <c r="L18" s="6"/>
      <c r="M18" s="2" t="s">
        <v>1970</v>
      </c>
      <c r="N18" s="2" t="s">
        <v>2684</v>
      </c>
      <c r="O18" s="2" t="s">
        <v>1586</v>
      </c>
      <c r="P18" s="2" t="s">
        <v>1988</v>
      </c>
      <c r="Q18" s="2" t="s">
        <v>1643</v>
      </c>
      <c r="R18" s="11" t="str">
        <f>HYPERLINK("http://slimages.macys.com/is/image/MCY/2805555 ")</f>
        <v xml:space="preserve">http://slimages.macys.com/is/image/MCY/2805555 </v>
      </c>
    </row>
    <row r="19" spans="1:18" ht="24.75" x14ac:dyDescent="0.25">
      <c r="A19" s="8" t="s">
        <v>1644</v>
      </c>
      <c r="B19" s="2" t="s">
        <v>1645</v>
      </c>
      <c r="C19" s="4">
        <v>1</v>
      </c>
      <c r="D19" s="6">
        <v>26.99</v>
      </c>
      <c r="E19" s="6">
        <v>26.99</v>
      </c>
      <c r="F19" s="9">
        <v>79.989999999999995</v>
      </c>
      <c r="G19" s="6">
        <v>79.989999999999995</v>
      </c>
      <c r="H19" s="4">
        <v>10001969100</v>
      </c>
      <c r="I19" s="2" t="s">
        <v>2430</v>
      </c>
      <c r="J19" s="10"/>
      <c r="K19" s="6"/>
      <c r="L19" s="6"/>
      <c r="M19" s="2" t="s">
        <v>1970</v>
      </c>
      <c r="N19" s="2" t="s">
        <v>2684</v>
      </c>
      <c r="O19" s="2" t="s">
        <v>1017</v>
      </c>
      <c r="P19" s="2" t="s">
        <v>1988</v>
      </c>
      <c r="Q19" s="2" t="s">
        <v>1646</v>
      </c>
      <c r="R19" s="11" t="str">
        <f>HYPERLINK("http://slimages.macys.com/is/image/MCY/9706171 ")</f>
        <v xml:space="preserve">http://slimages.macys.com/is/image/MCY/9706171 </v>
      </c>
    </row>
    <row r="20" spans="1:18" ht="24.75" x14ac:dyDescent="0.25">
      <c r="A20" s="8" t="s">
        <v>1647</v>
      </c>
      <c r="B20" s="2" t="s">
        <v>1648</v>
      </c>
      <c r="C20" s="4">
        <v>3</v>
      </c>
      <c r="D20" s="6">
        <v>26.62</v>
      </c>
      <c r="E20" s="6">
        <v>79.86</v>
      </c>
      <c r="F20" s="9">
        <v>79.989999999999995</v>
      </c>
      <c r="G20" s="6">
        <v>239.97</v>
      </c>
      <c r="H20" s="4">
        <v>10001968900</v>
      </c>
      <c r="I20" s="2" t="s">
        <v>2430</v>
      </c>
      <c r="J20" s="10"/>
      <c r="K20" s="6"/>
      <c r="L20" s="6"/>
      <c r="M20" s="2" t="s">
        <v>1970</v>
      </c>
      <c r="N20" s="2" t="s">
        <v>2684</v>
      </c>
      <c r="O20" s="2" t="s">
        <v>1017</v>
      </c>
      <c r="P20" s="2" t="s">
        <v>1988</v>
      </c>
      <c r="Q20" s="2" t="s">
        <v>1649</v>
      </c>
      <c r="R20" s="11" t="str">
        <f>HYPERLINK("http://slimages.macys.com/is/image/MCY/14788715 ")</f>
        <v xml:space="preserve">http://slimages.macys.com/is/image/MCY/14788715 </v>
      </c>
    </row>
    <row r="21" spans="1:18" ht="24.75" x14ac:dyDescent="0.25">
      <c r="A21" s="8" t="s">
        <v>1246</v>
      </c>
      <c r="B21" s="2" t="s">
        <v>1650</v>
      </c>
      <c r="C21" s="4">
        <v>8</v>
      </c>
      <c r="D21" s="6">
        <v>23.78</v>
      </c>
      <c r="E21" s="6">
        <v>190.24</v>
      </c>
      <c r="F21" s="9">
        <v>49.99</v>
      </c>
      <c r="G21" s="6">
        <v>399.92</v>
      </c>
      <c r="H21" s="4" t="s">
        <v>1248</v>
      </c>
      <c r="I21" s="2" t="s">
        <v>2071</v>
      </c>
      <c r="J21" s="10"/>
      <c r="K21" s="6"/>
      <c r="L21" s="6"/>
      <c r="M21" s="2" t="s">
        <v>1970</v>
      </c>
      <c r="N21" s="2" t="s">
        <v>2295</v>
      </c>
      <c r="O21" s="2" t="s">
        <v>2296</v>
      </c>
      <c r="P21" s="2" t="s">
        <v>1988</v>
      </c>
      <c r="Q21" s="2"/>
      <c r="R21" s="11" t="str">
        <f>HYPERLINK("http://slimages.macys.com/is/image/MCY/9843498 ")</f>
        <v xml:space="preserve">http://slimages.macys.com/is/image/MCY/9843498 </v>
      </c>
    </row>
    <row r="22" spans="1:18" ht="24.75" x14ac:dyDescent="0.25">
      <c r="A22" s="8" t="s">
        <v>1651</v>
      </c>
      <c r="B22" s="2" t="s">
        <v>1652</v>
      </c>
      <c r="C22" s="4">
        <v>1</v>
      </c>
      <c r="D22" s="6">
        <v>18.39</v>
      </c>
      <c r="E22" s="6">
        <v>18.39</v>
      </c>
      <c r="F22" s="9">
        <v>39.99</v>
      </c>
      <c r="G22" s="6">
        <v>39.99</v>
      </c>
      <c r="H22" s="4" t="s">
        <v>1653</v>
      </c>
      <c r="I22" s="2" t="s">
        <v>2683</v>
      </c>
      <c r="J22" s="10" t="s">
        <v>2326</v>
      </c>
      <c r="K22" s="6"/>
      <c r="L22" s="6"/>
      <c r="M22" s="2" t="s">
        <v>1970</v>
      </c>
      <c r="N22" s="2" t="s">
        <v>2851</v>
      </c>
      <c r="O22" s="2" t="s">
        <v>2854</v>
      </c>
      <c r="P22" s="2" t="s">
        <v>1988</v>
      </c>
      <c r="Q22" s="2" t="s">
        <v>1654</v>
      </c>
      <c r="R22" s="11" t="str">
        <f>HYPERLINK("http://slimages.macys.com/is/image/MCY/15098992 ")</f>
        <v xml:space="preserve">http://slimages.macys.com/is/image/MCY/15098992 </v>
      </c>
    </row>
    <row r="23" spans="1:18" ht="24.75" x14ac:dyDescent="0.25">
      <c r="A23" s="8" t="s">
        <v>1655</v>
      </c>
      <c r="B23" s="2" t="s">
        <v>1656</v>
      </c>
      <c r="C23" s="4">
        <v>1</v>
      </c>
      <c r="D23" s="6">
        <v>17.87</v>
      </c>
      <c r="E23" s="6">
        <v>17.87</v>
      </c>
      <c r="F23" s="9">
        <v>39.99</v>
      </c>
      <c r="G23" s="6">
        <v>39.99</v>
      </c>
      <c r="H23" s="4" t="s">
        <v>1657</v>
      </c>
      <c r="I23" s="2" t="s">
        <v>2011</v>
      </c>
      <c r="J23" s="10" t="s">
        <v>2314</v>
      </c>
      <c r="K23" s="6"/>
      <c r="L23" s="6"/>
      <c r="M23" s="2" t="s">
        <v>1970</v>
      </c>
      <c r="N23" s="2" t="s">
        <v>2012</v>
      </c>
      <c r="O23" s="2" t="s">
        <v>2426</v>
      </c>
      <c r="P23" s="2" t="s">
        <v>1988</v>
      </c>
      <c r="Q23" s="2"/>
      <c r="R23" s="11" t="str">
        <f>HYPERLINK("http://slimages.macys.com/is/image/MCY/14374261 ")</f>
        <v xml:space="preserve">http://slimages.macys.com/is/image/MCY/14374261 </v>
      </c>
    </row>
    <row r="24" spans="1:18" ht="24.75" x14ac:dyDescent="0.25">
      <c r="A24" s="8" t="s">
        <v>1658</v>
      </c>
      <c r="B24" s="2" t="s">
        <v>1659</v>
      </c>
      <c r="C24" s="4">
        <v>1</v>
      </c>
      <c r="D24" s="6">
        <v>17.05</v>
      </c>
      <c r="E24" s="6">
        <v>17.05</v>
      </c>
      <c r="F24" s="9">
        <v>29.99</v>
      </c>
      <c r="G24" s="6">
        <v>29.99</v>
      </c>
      <c r="H24" s="4">
        <v>19646238</v>
      </c>
      <c r="I24" s="2" t="s">
        <v>2017</v>
      </c>
      <c r="J24" s="10"/>
      <c r="K24" s="6"/>
      <c r="L24" s="6"/>
      <c r="M24" s="2" t="s">
        <v>1970</v>
      </c>
      <c r="N24" s="2" t="s">
        <v>805</v>
      </c>
      <c r="O24" s="2" t="s">
        <v>2967</v>
      </c>
      <c r="P24" s="2" t="s">
        <v>1988</v>
      </c>
      <c r="Q24" s="2" t="s">
        <v>2688</v>
      </c>
      <c r="R24" s="11" t="str">
        <f>HYPERLINK("http://slimages.macys.com/is/image/MCY/9318947 ")</f>
        <v xml:space="preserve">http://slimages.macys.com/is/image/MCY/9318947 </v>
      </c>
    </row>
    <row r="25" spans="1:18" ht="24.75" x14ac:dyDescent="0.25">
      <c r="A25" s="8" t="s">
        <v>1058</v>
      </c>
      <c r="B25" s="2" t="s">
        <v>1059</v>
      </c>
      <c r="C25" s="4">
        <v>1</v>
      </c>
      <c r="D25" s="6">
        <v>14.25</v>
      </c>
      <c r="E25" s="6">
        <v>14.25</v>
      </c>
      <c r="F25" s="9">
        <v>29.99</v>
      </c>
      <c r="G25" s="6">
        <v>29.99</v>
      </c>
      <c r="H25" s="4" t="s">
        <v>1060</v>
      </c>
      <c r="I25" s="2"/>
      <c r="J25" s="10"/>
      <c r="K25" s="6"/>
      <c r="L25" s="6"/>
      <c r="M25" s="2" t="s">
        <v>1970</v>
      </c>
      <c r="N25" s="2" t="s">
        <v>2012</v>
      </c>
      <c r="O25" s="2" t="s">
        <v>2448</v>
      </c>
      <c r="P25" s="2" t="s">
        <v>1988</v>
      </c>
      <c r="Q25" s="2"/>
      <c r="R25" s="11" t="str">
        <f>HYPERLINK("http://slimages.macys.com/is/image/MCY/13701076 ")</f>
        <v xml:space="preserve">http://slimages.macys.com/is/image/MCY/13701076 </v>
      </c>
    </row>
    <row r="26" spans="1:18" ht="24.75" x14ac:dyDescent="0.25">
      <c r="A26" s="8" t="s">
        <v>925</v>
      </c>
      <c r="B26" s="2" t="s">
        <v>1660</v>
      </c>
      <c r="C26" s="4">
        <v>1</v>
      </c>
      <c r="D26" s="6">
        <v>14.25</v>
      </c>
      <c r="E26" s="6">
        <v>14.25</v>
      </c>
      <c r="F26" s="9">
        <v>29.99</v>
      </c>
      <c r="G26" s="6">
        <v>29.99</v>
      </c>
      <c r="H26" s="4" t="s">
        <v>927</v>
      </c>
      <c r="I26" s="2"/>
      <c r="J26" s="10"/>
      <c r="K26" s="6"/>
      <c r="L26" s="6"/>
      <c r="M26" s="2" t="s">
        <v>1970</v>
      </c>
      <c r="N26" s="2" t="s">
        <v>2012</v>
      </c>
      <c r="O26" s="2" t="s">
        <v>2448</v>
      </c>
      <c r="P26" s="2" t="s">
        <v>1988</v>
      </c>
      <c r="Q26" s="2"/>
      <c r="R26" s="11" t="str">
        <f>HYPERLINK("http://slimages.macys.com/is/image/MCY/13701059 ")</f>
        <v xml:space="preserve">http://slimages.macys.com/is/image/MCY/13701059 </v>
      </c>
    </row>
    <row r="27" spans="1:18" ht="24.75" x14ac:dyDescent="0.25">
      <c r="A27" s="8" t="s">
        <v>1283</v>
      </c>
      <c r="B27" s="2" t="s">
        <v>1661</v>
      </c>
      <c r="C27" s="4">
        <v>1</v>
      </c>
      <c r="D27" s="6">
        <v>15.59</v>
      </c>
      <c r="E27" s="6">
        <v>15.59</v>
      </c>
      <c r="F27" s="9">
        <v>39.99</v>
      </c>
      <c r="G27" s="6">
        <v>39.99</v>
      </c>
      <c r="H27" s="4">
        <v>100041324</v>
      </c>
      <c r="I27" s="2" t="s">
        <v>2026</v>
      </c>
      <c r="J27" s="10" t="s">
        <v>2425</v>
      </c>
      <c r="K27" s="6"/>
      <c r="L27" s="6"/>
      <c r="M27" s="2" t="s">
        <v>1970</v>
      </c>
      <c r="N27" s="2" t="s">
        <v>2295</v>
      </c>
      <c r="O27" s="2" t="s">
        <v>2296</v>
      </c>
      <c r="P27" s="2"/>
      <c r="Q27" s="2"/>
      <c r="R27" s="11" t="str">
        <f>HYPERLINK("http://slimages.macys.com/is/image/MCY/11011077 ")</f>
        <v xml:space="preserve">http://slimages.macys.com/is/image/MCY/11011077 </v>
      </c>
    </row>
    <row r="28" spans="1:18" ht="24.75" x14ac:dyDescent="0.25">
      <c r="A28" s="8" t="s">
        <v>1662</v>
      </c>
      <c r="B28" s="2" t="s">
        <v>1663</v>
      </c>
      <c r="C28" s="4">
        <v>5</v>
      </c>
      <c r="D28" s="6">
        <v>13.35</v>
      </c>
      <c r="E28" s="6">
        <v>66.75</v>
      </c>
      <c r="F28" s="9">
        <v>29.99</v>
      </c>
      <c r="G28" s="6">
        <v>149.94999999999999</v>
      </c>
      <c r="H28" s="4">
        <v>78616</v>
      </c>
      <c r="I28" s="2" t="s">
        <v>2021</v>
      </c>
      <c r="J28" s="10" t="s">
        <v>2314</v>
      </c>
      <c r="K28" s="6"/>
      <c r="L28" s="6"/>
      <c r="M28" s="2" t="s">
        <v>1970</v>
      </c>
      <c r="N28" s="2" t="s">
        <v>2012</v>
      </c>
      <c r="O28" s="2" t="s">
        <v>1999</v>
      </c>
      <c r="P28" s="2" t="s">
        <v>1988</v>
      </c>
      <c r="Q28" s="2" t="s">
        <v>1185</v>
      </c>
      <c r="R28" s="11" t="str">
        <f>HYPERLINK("http://slimages.macys.com/is/image/MCY/9359370 ")</f>
        <v xml:space="preserve">http://slimages.macys.com/is/image/MCY/9359370 </v>
      </c>
    </row>
    <row r="29" spans="1:18" ht="24.75" x14ac:dyDescent="0.25">
      <c r="A29" s="8" t="s">
        <v>1664</v>
      </c>
      <c r="B29" s="2" t="s">
        <v>1665</v>
      </c>
      <c r="C29" s="4">
        <v>1</v>
      </c>
      <c r="D29" s="6">
        <v>12.5</v>
      </c>
      <c r="E29" s="6">
        <v>12.5</v>
      </c>
      <c r="F29" s="9">
        <v>24.99</v>
      </c>
      <c r="G29" s="6">
        <v>24.99</v>
      </c>
      <c r="H29" s="4" t="s">
        <v>1666</v>
      </c>
      <c r="I29" s="2" t="s">
        <v>2026</v>
      </c>
      <c r="J29" s="10"/>
      <c r="K29" s="6"/>
      <c r="L29" s="6"/>
      <c r="M29" s="2" t="s">
        <v>1970</v>
      </c>
      <c r="N29" s="2" t="s">
        <v>2012</v>
      </c>
      <c r="O29" s="2" t="s">
        <v>2448</v>
      </c>
      <c r="P29" s="2" t="s">
        <v>1988</v>
      </c>
      <c r="Q29" s="2" t="s">
        <v>1112</v>
      </c>
      <c r="R29" s="11" t="str">
        <f>HYPERLINK("http://slimages.macys.com/is/image/MCY/9421574 ")</f>
        <v xml:space="preserve">http://slimages.macys.com/is/image/MCY/9421574 </v>
      </c>
    </row>
    <row r="30" spans="1:18" ht="24.75" x14ac:dyDescent="0.25">
      <c r="A30" s="8" t="s">
        <v>1667</v>
      </c>
      <c r="B30" s="2" t="s">
        <v>1668</v>
      </c>
      <c r="C30" s="4">
        <v>1</v>
      </c>
      <c r="D30" s="6">
        <v>13.5</v>
      </c>
      <c r="E30" s="6">
        <v>13.5</v>
      </c>
      <c r="F30" s="9">
        <v>29.99</v>
      </c>
      <c r="G30" s="6">
        <v>29.99</v>
      </c>
      <c r="H30" s="4" t="s">
        <v>1669</v>
      </c>
      <c r="I30" s="2" t="s">
        <v>2077</v>
      </c>
      <c r="J30" s="10"/>
      <c r="K30" s="6"/>
      <c r="L30" s="6"/>
      <c r="M30" s="2" t="s">
        <v>1970</v>
      </c>
      <c r="N30" s="2" t="s">
        <v>2846</v>
      </c>
      <c r="O30" s="2" t="s">
        <v>2847</v>
      </c>
      <c r="P30" s="2"/>
      <c r="Q30" s="2"/>
      <c r="R30" s="11" t="str">
        <f>HYPERLINK("http://slimages.macys.com/is/image/MCY/3898968 ")</f>
        <v xml:space="preserve">http://slimages.macys.com/is/image/MCY/3898968 </v>
      </c>
    </row>
    <row r="31" spans="1:18" ht="24.75" x14ac:dyDescent="0.25">
      <c r="A31" s="8" t="s">
        <v>1670</v>
      </c>
      <c r="B31" s="2" t="s">
        <v>1671</v>
      </c>
      <c r="C31" s="4">
        <v>2</v>
      </c>
      <c r="D31" s="6">
        <v>11.5</v>
      </c>
      <c r="E31" s="6">
        <v>23</v>
      </c>
      <c r="F31" s="9">
        <v>24.99</v>
      </c>
      <c r="G31" s="6">
        <v>49.98</v>
      </c>
      <c r="H31" s="4" t="s">
        <v>1672</v>
      </c>
      <c r="I31" s="2" t="s">
        <v>2057</v>
      </c>
      <c r="J31" s="10"/>
      <c r="K31" s="6"/>
      <c r="L31" s="6"/>
      <c r="M31" s="2" t="s">
        <v>1970</v>
      </c>
      <c r="N31" s="2" t="s">
        <v>2012</v>
      </c>
      <c r="O31" s="2" t="s">
        <v>2426</v>
      </c>
      <c r="P31" s="2" t="s">
        <v>1988</v>
      </c>
      <c r="Q31" s="2"/>
      <c r="R31" s="11" t="str">
        <f>HYPERLINK("http://slimages.macys.com/is/image/MCY/11926635 ")</f>
        <v xml:space="preserve">http://slimages.macys.com/is/image/MCY/11926635 </v>
      </c>
    </row>
    <row r="32" spans="1:18" ht="24.75" x14ac:dyDescent="0.25">
      <c r="A32" s="8" t="s">
        <v>1673</v>
      </c>
      <c r="B32" s="2" t="s">
        <v>1674</v>
      </c>
      <c r="C32" s="4">
        <v>1</v>
      </c>
      <c r="D32" s="6">
        <v>10.81</v>
      </c>
      <c r="E32" s="6">
        <v>10.81</v>
      </c>
      <c r="F32" s="9">
        <v>14.99</v>
      </c>
      <c r="G32" s="6">
        <v>14.99</v>
      </c>
      <c r="H32" s="4" t="s">
        <v>1675</v>
      </c>
      <c r="I32" s="2"/>
      <c r="J32" s="10" t="s">
        <v>1080</v>
      </c>
      <c r="K32" s="6"/>
      <c r="L32" s="6"/>
      <c r="M32" s="2" t="s">
        <v>1970</v>
      </c>
      <c r="N32" s="2" t="s">
        <v>2184</v>
      </c>
      <c r="O32" s="2" t="s">
        <v>1081</v>
      </c>
      <c r="P32" s="2" t="s">
        <v>2039</v>
      </c>
      <c r="Q32" s="2" t="s">
        <v>1676</v>
      </c>
      <c r="R32" s="11" t="str">
        <f>HYPERLINK("http://slimages.macys.com/is/image/MCY/3130254 ")</f>
        <v xml:space="preserve">http://slimages.macys.com/is/image/MCY/3130254 </v>
      </c>
    </row>
    <row r="33" spans="1:18" ht="24.75" x14ac:dyDescent="0.25">
      <c r="A33" s="8" t="s">
        <v>1677</v>
      </c>
      <c r="B33" s="2" t="s">
        <v>1678</v>
      </c>
      <c r="C33" s="4">
        <v>1</v>
      </c>
      <c r="D33" s="6">
        <v>10.81</v>
      </c>
      <c r="E33" s="6">
        <v>10.81</v>
      </c>
      <c r="F33" s="9">
        <v>14.99</v>
      </c>
      <c r="G33" s="6">
        <v>14.99</v>
      </c>
      <c r="H33" s="4" t="s">
        <v>1679</v>
      </c>
      <c r="I33" s="2" t="s">
        <v>2825</v>
      </c>
      <c r="J33" s="10" t="s">
        <v>1080</v>
      </c>
      <c r="K33" s="6"/>
      <c r="L33" s="6"/>
      <c r="M33" s="2" t="s">
        <v>1970</v>
      </c>
      <c r="N33" s="2" t="s">
        <v>2184</v>
      </c>
      <c r="O33" s="2" t="s">
        <v>1081</v>
      </c>
      <c r="P33" s="2" t="s">
        <v>2039</v>
      </c>
      <c r="Q33" s="2" t="s">
        <v>1676</v>
      </c>
      <c r="R33" s="11" t="str">
        <f>HYPERLINK("http://slimages.macys.com/is/image/MCY/3130254 ")</f>
        <v xml:space="preserve">http://slimages.macys.com/is/image/MCY/3130254 </v>
      </c>
    </row>
    <row r="34" spans="1:18" ht="24.75" x14ac:dyDescent="0.25">
      <c r="A34" s="8" t="s">
        <v>1183</v>
      </c>
      <c r="B34" s="2" t="s">
        <v>1184</v>
      </c>
      <c r="C34" s="4">
        <v>2</v>
      </c>
      <c r="D34" s="6">
        <v>11.39</v>
      </c>
      <c r="E34" s="6">
        <v>22.78</v>
      </c>
      <c r="F34" s="9">
        <v>24.99</v>
      </c>
      <c r="G34" s="6">
        <v>49.98</v>
      </c>
      <c r="H34" s="4">
        <v>78617</v>
      </c>
      <c r="I34" s="2" t="s">
        <v>1993</v>
      </c>
      <c r="J34" s="10" t="s">
        <v>2314</v>
      </c>
      <c r="K34" s="6"/>
      <c r="L34" s="6"/>
      <c r="M34" s="2" t="s">
        <v>1970</v>
      </c>
      <c r="N34" s="2" t="s">
        <v>2012</v>
      </c>
      <c r="O34" s="2" t="s">
        <v>1999</v>
      </c>
      <c r="P34" s="2" t="s">
        <v>1988</v>
      </c>
      <c r="Q34" s="2" t="s">
        <v>1185</v>
      </c>
      <c r="R34" s="11" t="str">
        <f>HYPERLINK("http://slimages.macys.com/is/image/MCY/9359339 ")</f>
        <v xml:space="preserve">http://slimages.macys.com/is/image/MCY/9359339 </v>
      </c>
    </row>
    <row r="35" spans="1:18" ht="36.75" x14ac:dyDescent="0.25">
      <c r="A35" s="8" t="s">
        <v>1680</v>
      </c>
      <c r="B35" s="2" t="s">
        <v>1681</v>
      </c>
      <c r="C35" s="4">
        <v>3</v>
      </c>
      <c r="D35" s="6">
        <v>11</v>
      </c>
      <c r="E35" s="6">
        <v>33</v>
      </c>
      <c r="F35" s="9">
        <v>24.99</v>
      </c>
      <c r="G35" s="6">
        <v>74.97</v>
      </c>
      <c r="H35" s="4" t="s">
        <v>1682</v>
      </c>
      <c r="I35" s="2" t="s">
        <v>2144</v>
      </c>
      <c r="J35" s="10" t="s">
        <v>2456</v>
      </c>
      <c r="K35" s="6"/>
      <c r="L35" s="6"/>
      <c r="M35" s="2" t="s">
        <v>1970</v>
      </c>
      <c r="N35" s="2" t="s">
        <v>2012</v>
      </c>
      <c r="O35" s="2" t="s">
        <v>2967</v>
      </c>
      <c r="P35" s="2" t="s">
        <v>1988</v>
      </c>
      <c r="Q35" s="2" t="s">
        <v>1683</v>
      </c>
      <c r="R35" s="11" t="str">
        <f>HYPERLINK("http://slimages.macys.com/is/image/MCY/12450183 ")</f>
        <v xml:space="preserve">http://slimages.macys.com/is/image/MCY/12450183 </v>
      </c>
    </row>
    <row r="36" spans="1:18" ht="24.75" x14ac:dyDescent="0.25">
      <c r="A36" s="8" t="s">
        <v>1684</v>
      </c>
      <c r="B36" s="2" t="s">
        <v>1685</v>
      </c>
      <c r="C36" s="4">
        <v>4</v>
      </c>
      <c r="D36" s="6">
        <v>8.9499999999999993</v>
      </c>
      <c r="E36" s="6">
        <v>35.799999999999997</v>
      </c>
      <c r="F36" s="9">
        <v>9.99</v>
      </c>
      <c r="G36" s="6">
        <v>39.96</v>
      </c>
      <c r="H36" s="4" t="s">
        <v>1686</v>
      </c>
      <c r="I36" s="2"/>
      <c r="J36" s="10"/>
      <c r="K36" s="6"/>
      <c r="L36" s="6"/>
      <c r="M36" s="2" t="s">
        <v>1970</v>
      </c>
      <c r="N36" s="2" t="s">
        <v>2184</v>
      </c>
      <c r="O36" s="2" t="s">
        <v>1081</v>
      </c>
      <c r="P36" s="2" t="s">
        <v>2039</v>
      </c>
      <c r="Q36" s="2" t="s">
        <v>1082</v>
      </c>
      <c r="R36" s="11" t="str">
        <f>HYPERLINK("http://slimages.macys.com/is/image/MCY/15633945 ")</f>
        <v xml:space="preserve">http://slimages.macys.com/is/image/MCY/15633945 </v>
      </c>
    </row>
    <row r="37" spans="1:18" ht="24.75" x14ac:dyDescent="0.25">
      <c r="A37" s="8" t="s">
        <v>1687</v>
      </c>
      <c r="B37" s="2" t="s">
        <v>1688</v>
      </c>
      <c r="C37" s="4">
        <v>2</v>
      </c>
      <c r="D37" s="6">
        <v>8.32</v>
      </c>
      <c r="E37" s="6">
        <v>16.64</v>
      </c>
      <c r="F37" s="9">
        <v>17.989999999999998</v>
      </c>
      <c r="G37" s="6">
        <v>35.979999999999997</v>
      </c>
      <c r="H37" s="4">
        <v>78620</v>
      </c>
      <c r="I37" s="2" t="s">
        <v>2021</v>
      </c>
      <c r="J37" s="10" t="s">
        <v>2314</v>
      </c>
      <c r="K37" s="6"/>
      <c r="L37" s="6"/>
      <c r="M37" s="2" t="s">
        <v>1970</v>
      </c>
      <c r="N37" s="2" t="s">
        <v>2012</v>
      </c>
      <c r="O37" s="2" t="s">
        <v>1999</v>
      </c>
      <c r="P37" s="2" t="s">
        <v>1988</v>
      </c>
      <c r="Q37" s="2"/>
      <c r="R37" s="11" t="str">
        <f>HYPERLINK("http://slimages.macys.com/is/image/MCY/9359358 ")</f>
        <v xml:space="preserve">http://slimages.macys.com/is/image/MCY/9359358 </v>
      </c>
    </row>
    <row r="38" spans="1:18" ht="24.75" x14ac:dyDescent="0.25">
      <c r="A38" s="8" t="s">
        <v>1689</v>
      </c>
      <c r="B38" s="2" t="s">
        <v>1690</v>
      </c>
      <c r="C38" s="4">
        <v>1</v>
      </c>
      <c r="D38" s="6">
        <v>6.91</v>
      </c>
      <c r="E38" s="6">
        <v>6.91</v>
      </c>
      <c r="F38" s="9">
        <v>16.989999999999998</v>
      </c>
      <c r="G38" s="6">
        <v>16.989999999999998</v>
      </c>
      <c r="H38" s="4">
        <v>77556</v>
      </c>
      <c r="I38" s="2" t="s">
        <v>1993</v>
      </c>
      <c r="J38" s="10"/>
      <c r="K38" s="6"/>
      <c r="L38" s="6"/>
      <c r="M38" s="2" t="s">
        <v>1970</v>
      </c>
      <c r="N38" s="2" t="s">
        <v>2012</v>
      </c>
      <c r="O38" s="2" t="s">
        <v>1999</v>
      </c>
      <c r="P38" s="2" t="s">
        <v>2499</v>
      </c>
      <c r="Q38" s="2"/>
      <c r="R38" s="11" t="str">
        <f>HYPERLINK("http://slimages.macys.com/is/image/MCY/8485480 ")</f>
        <v xml:space="preserve">http://slimages.macys.com/is/image/MCY/8485480 </v>
      </c>
    </row>
    <row r="39" spans="1:18" ht="24.75" x14ac:dyDescent="0.25">
      <c r="A39" s="8" t="s">
        <v>1691</v>
      </c>
      <c r="B39" s="2" t="s">
        <v>1692</v>
      </c>
      <c r="C39" s="4">
        <v>1</v>
      </c>
      <c r="D39" s="6">
        <v>6.36</v>
      </c>
      <c r="E39" s="6">
        <v>6.36</v>
      </c>
      <c r="F39" s="9">
        <v>25.99</v>
      </c>
      <c r="G39" s="6">
        <v>25.99</v>
      </c>
      <c r="H39" s="4">
        <v>1004428500</v>
      </c>
      <c r="I39" s="2" t="s">
        <v>2200</v>
      </c>
      <c r="J39" s="10"/>
      <c r="K39" s="6"/>
      <c r="L39" s="6"/>
      <c r="M39" s="2" t="s">
        <v>1970</v>
      </c>
      <c r="N39" s="2" t="s">
        <v>2396</v>
      </c>
      <c r="O39" s="2" t="s">
        <v>1693</v>
      </c>
      <c r="P39" s="2" t="s">
        <v>1988</v>
      </c>
      <c r="Q39" s="2" t="s">
        <v>2310</v>
      </c>
      <c r="R39" s="11" t="str">
        <f>HYPERLINK("http://slimages.macys.com/is/image/MCY/11340038 ")</f>
        <v xml:space="preserve">http://slimages.macys.com/is/image/MCY/11340038 </v>
      </c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1"/>
  <sheetViews>
    <sheetView topLeftCell="A20" workbookViewId="0">
      <selection activeCell="K55" sqref="K55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4.28515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5.710937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48.75" x14ac:dyDescent="0.25">
      <c r="A2" s="8" t="s">
        <v>1694</v>
      </c>
      <c r="B2" s="2" t="s">
        <v>1695</v>
      </c>
      <c r="C2" s="4">
        <v>1</v>
      </c>
      <c r="D2" s="6">
        <v>77.400000000000006</v>
      </c>
      <c r="E2" s="6">
        <v>77.400000000000006</v>
      </c>
      <c r="F2" s="9">
        <v>252.99</v>
      </c>
      <c r="G2" s="6">
        <v>252.99</v>
      </c>
      <c r="H2" s="4" t="s">
        <v>1696</v>
      </c>
      <c r="I2" s="2" t="s">
        <v>2120</v>
      </c>
      <c r="J2" s="10" t="s">
        <v>2737</v>
      </c>
      <c r="K2" s="6"/>
      <c r="L2" s="6"/>
      <c r="M2" s="2" t="s">
        <v>1970</v>
      </c>
      <c r="N2" s="2" t="s">
        <v>1986</v>
      </c>
      <c r="O2" s="2" t="s">
        <v>2216</v>
      </c>
      <c r="P2" s="2" t="s">
        <v>1988</v>
      </c>
      <c r="Q2" s="2" t="s">
        <v>2217</v>
      </c>
      <c r="R2" s="11" t="str">
        <f>HYPERLINK("http://slimages.macys.com/is/image/MCY/10784179 ")</f>
        <v xml:space="preserve">http://slimages.macys.com/is/image/MCY/10784179 </v>
      </c>
    </row>
    <row r="3" spans="1:18" ht="84.75" x14ac:dyDescent="0.25">
      <c r="A3" s="8" t="s">
        <v>1697</v>
      </c>
      <c r="B3" s="2" t="s">
        <v>1698</v>
      </c>
      <c r="C3" s="4">
        <v>1</v>
      </c>
      <c r="D3" s="6">
        <v>63.29</v>
      </c>
      <c r="E3" s="6">
        <v>63.29</v>
      </c>
      <c r="F3" s="9">
        <v>169.99</v>
      </c>
      <c r="G3" s="6">
        <v>169.99</v>
      </c>
      <c r="H3" s="4" t="s">
        <v>1699</v>
      </c>
      <c r="I3" s="2" t="s">
        <v>2120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2631</v>
      </c>
      <c r="R3" s="11" t="str">
        <f>HYPERLINK("http://slimages.macys.com/is/image/MCY/9627753 ")</f>
        <v xml:space="preserve">http://slimages.macys.com/is/image/MCY/9627753 </v>
      </c>
    </row>
    <row r="4" spans="1:18" ht="144.75" x14ac:dyDescent="0.25">
      <c r="A4" s="8" t="s">
        <v>1700</v>
      </c>
      <c r="B4" s="2" t="s">
        <v>1701</v>
      </c>
      <c r="C4" s="4">
        <v>1</v>
      </c>
      <c r="D4" s="6">
        <v>60.75</v>
      </c>
      <c r="E4" s="6">
        <v>60.75</v>
      </c>
      <c r="F4" s="9">
        <v>144.99</v>
      </c>
      <c r="G4" s="6">
        <v>144.99</v>
      </c>
      <c r="H4" s="4" t="s">
        <v>1702</v>
      </c>
      <c r="I4" s="2" t="s">
        <v>1993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1454</v>
      </c>
      <c r="R4" s="11" t="str">
        <f>HYPERLINK("http://slimages.macys.com/is/image/MCY/8936712 ")</f>
        <v xml:space="preserve">http://slimages.macys.com/is/image/MCY/8936712 </v>
      </c>
    </row>
    <row r="5" spans="1:18" ht="60.75" x14ac:dyDescent="0.25">
      <c r="A5" s="8" t="s">
        <v>1703</v>
      </c>
      <c r="B5" s="2" t="s">
        <v>1704</v>
      </c>
      <c r="C5" s="4">
        <v>1</v>
      </c>
      <c r="D5" s="6">
        <v>48.18</v>
      </c>
      <c r="E5" s="6">
        <v>48.18</v>
      </c>
      <c r="F5" s="9">
        <v>172.99</v>
      </c>
      <c r="G5" s="6">
        <v>172.99</v>
      </c>
      <c r="H5" s="4">
        <v>66620</v>
      </c>
      <c r="I5" s="2" t="s">
        <v>1998</v>
      </c>
      <c r="J5" s="10"/>
      <c r="K5" s="6"/>
      <c r="L5" s="6"/>
      <c r="M5" s="2" t="s">
        <v>1970</v>
      </c>
      <c r="N5" s="2" t="s">
        <v>1986</v>
      </c>
      <c r="O5" s="2" t="s">
        <v>1999</v>
      </c>
      <c r="P5" s="2" t="s">
        <v>1988</v>
      </c>
      <c r="Q5" s="2" t="s">
        <v>2000</v>
      </c>
      <c r="R5" s="11" t="str">
        <f>HYPERLINK("http://slimages.macys.com/is/image/MCY/11942463 ")</f>
        <v xml:space="preserve">http://slimages.macys.com/is/image/MCY/11942463 </v>
      </c>
    </row>
    <row r="6" spans="1:18" ht="60.75" x14ac:dyDescent="0.25">
      <c r="A6" s="8" t="s">
        <v>1705</v>
      </c>
      <c r="B6" s="2" t="s">
        <v>1706</v>
      </c>
      <c r="C6" s="4">
        <v>2</v>
      </c>
      <c r="D6" s="6">
        <v>38.24</v>
      </c>
      <c r="E6" s="6">
        <v>76.48</v>
      </c>
      <c r="F6" s="9">
        <v>93.99</v>
      </c>
      <c r="G6" s="6">
        <v>187.98</v>
      </c>
      <c r="H6" s="4" t="s">
        <v>1707</v>
      </c>
      <c r="I6" s="2" t="s">
        <v>2087</v>
      </c>
      <c r="J6" s="10"/>
      <c r="K6" s="6"/>
      <c r="L6" s="6"/>
      <c r="M6" s="2" t="s">
        <v>1970</v>
      </c>
      <c r="N6" s="2" t="s">
        <v>2012</v>
      </c>
      <c r="O6" s="2" t="s">
        <v>1987</v>
      </c>
      <c r="P6" s="2" t="s">
        <v>1988</v>
      </c>
      <c r="Q6" s="2" t="s">
        <v>2253</v>
      </c>
      <c r="R6" s="11" t="str">
        <f>HYPERLINK("http://slimages.macys.com/is/image/MCY/10028055 ")</f>
        <v xml:space="preserve">http://slimages.macys.com/is/image/MCY/10028055 </v>
      </c>
    </row>
    <row r="7" spans="1:18" ht="36.75" x14ac:dyDescent="0.25">
      <c r="A7" s="8" t="s">
        <v>1708</v>
      </c>
      <c r="B7" s="2" t="s">
        <v>1709</v>
      </c>
      <c r="C7" s="4">
        <v>6</v>
      </c>
      <c r="D7" s="6">
        <v>35.64</v>
      </c>
      <c r="E7" s="6">
        <v>213.84</v>
      </c>
      <c r="F7" s="9">
        <v>89.99</v>
      </c>
      <c r="G7" s="6">
        <v>539.94000000000005</v>
      </c>
      <c r="H7" s="4" t="s">
        <v>1710</v>
      </c>
      <c r="I7" s="2" t="s">
        <v>2017</v>
      </c>
      <c r="J7" s="10" t="s">
        <v>2675</v>
      </c>
      <c r="K7" s="6"/>
      <c r="L7" s="6"/>
      <c r="M7" s="2" t="s">
        <v>1970</v>
      </c>
      <c r="N7" s="2" t="s">
        <v>2626</v>
      </c>
      <c r="O7" s="2" t="s">
        <v>2941</v>
      </c>
      <c r="P7" s="2" t="s">
        <v>1988</v>
      </c>
      <c r="Q7" s="2" t="s">
        <v>1711</v>
      </c>
      <c r="R7" s="11" t="str">
        <f>HYPERLINK("http://slimages.macys.com/is/image/MCY/2594481 ")</f>
        <v xml:space="preserve">http://slimages.macys.com/is/image/MCY/2594481 </v>
      </c>
    </row>
    <row r="8" spans="1:18" ht="144.75" x14ac:dyDescent="0.25">
      <c r="A8" s="8" t="s">
        <v>1712</v>
      </c>
      <c r="B8" s="2" t="s">
        <v>1713</v>
      </c>
      <c r="C8" s="4">
        <v>1</v>
      </c>
      <c r="D8" s="6">
        <v>31.82</v>
      </c>
      <c r="E8" s="6">
        <v>31.82</v>
      </c>
      <c r="F8" s="9">
        <v>79.989999999999995</v>
      </c>
      <c r="G8" s="6">
        <v>79.989999999999995</v>
      </c>
      <c r="H8" s="4" t="s">
        <v>1714</v>
      </c>
      <c r="I8" s="2" t="s">
        <v>2017</v>
      </c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1715</v>
      </c>
      <c r="R8" s="11" t="str">
        <f>HYPERLINK("http://slimages.macys.com/is/image/MCY/8927467 ")</f>
        <v xml:space="preserve">http://slimages.macys.com/is/image/MCY/8927467 </v>
      </c>
    </row>
    <row r="9" spans="1:18" ht="96.75" x14ac:dyDescent="0.25">
      <c r="A9" s="8" t="s">
        <v>1716</v>
      </c>
      <c r="B9" s="2" t="s">
        <v>1717</v>
      </c>
      <c r="C9" s="4">
        <v>1</v>
      </c>
      <c r="D9" s="6">
        <v>31.82</v>
      </c>
      <c r="E9" s="6">
        <v>31.82</v>
      </c>
      <c r="F9" s="9">
        <v>79.989999999999995</v>
      </c>
      <c r="G9" s="6">
        <v>79.989999999999995</v>
      </c>
      <c r="H9" s="4" t="s">
        <v>1718</v>
      </c>
      <c r="I9" s="2" t="s">
        <v>2571</v>
      </c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1719</v>
      </c>
      <c r="R9" s="11" t="str">
        <f>HYPERLINK("http://slimages.macys.com/is/image/MCY/9188025 ")</f>
        <v xml:space="preserve">http://slimages.macys.com/is/image/MCY/9188025 </v>
      </c>
    </row>
    <row r="10" spans="1:18" ht="36.75" x14ac:dyDescent="0.25">
      <c r="A10" s="8" t="s">
        <v>1720</v>
      </c>
      <c r="B10" s="2" t="s">
        <v>1721</v>
      </c>
      <c r="C10" s="4">
        <v>1</v>
      </c>
      <c r="D10" s="6">
        <v>30.6</v>
      </c>
      <c r="E10" s="6">
        <v>30.6</v>
      </c>
      <c r="F10" s="9">
        <v>99.99</v>
      </c>
      <c r="G10" s="6">
        <v>99.99</v>
      </c>
      <c r="H10" s="4" t="s">
        <v>1722</v>
      </c>
      <c r="I10" s="2" t="s">
        <v>2017</v>
      </c>
      <c r="J10" s="10"/>
      <c r="K10" s="6"/>
      <c r="L10" s="6"/>
      <c r="M10" s="2" t="s">
        <v>1970</v>
      </c>
      <c r="N10" s="2" t="s">
        <v>1986</v>
      </c>
      <c r="O10" s="2" t="s">
        <v>2216</v>
      </c>
      <c r="P10" s="2" t="s">
        <v>1988</v>
      </c>
      <c r="Q10" s="2" t="s">
        <v>2245</v>
      </c>
      <c r="R10" s="11" t="str">
        <f>HYPERLINK("http://slimages.macys.com/is/image/MCY/10143141 ")</f>
        <v xml:space="preserve">http://slimages.macys.com/is/image/MCY/10143141 </v>
      </c>
    </row>
    <row r="11" spans="1:18" ht="144.75" x14ac:dyDescent="0.25">
      <c r="A11" s="8" t="s">
        <v>1723</v>
      </c>
      <c r="B11" s="2" t="s">
        <v>1724</v>
      </c>
      <c r="C11" s="4">
        <v>2</v>
      </c>
      <c r="D11" s="6">
        <v>28.41</v>
      </c>
      <c r="E11" s="6">
        <v>56.82</v>
      </c>
      <c r="F11" s="9">
        <v>69.989999999999995</v>
      </c>
      <c r="G11" s="6">
        <v>139.97999999999999</v>
      </c>
      <c r="H11" s="4" t="s">
        <v>1725</v>
      </c>
      <c r="I11" s="2" t="s">
        <v>2017</v>
      </c>
      <c r="J11" s="10"/>
      <c r="K11" s="6"/>
      <c r="L11" s="6"/>
      <c r="M11" s="2" t="s">
        <v>1970</v>
      </c>
      <c r="N11" s="2" t="s">
        <v>1986</v>
      </c>
      <c r="O11" s="2" t="s">
        <v>1987</v>
      </c>
      <c r="P11" s="2" t="s">
        <v>1988</v>
      </c>
      <c r="Q11" s="2" t="s">
        <v>1726</v>
      </c>
      <c r="R11" s="11" t="str">
        <f>HYPERLINK("http://slimages.macys.com/is/image/MCY/8939359 ")</f>
        <v xml:space="preserve">http://slimages.macys.com/is/image/MCY/8939359 </v>
      </c>
    </row>
    <row r="12" spans="1:18" ht="24.75" x14ac:dyDescent="0.25">
      <c r="A12" s="8" t="s">
        <v>1727</v>
      </c>
      <c r="B12" s="2" t="s">
        <v>1728</v>
      </c>
      <c r="C12" s="4">
        <v>1</v>
      </c>
      <c r="D12" s="6">
        <v>27.13</v>
      </c>
      <c r="E12" s="6">
        <v>27.13</v>
      </c>
      <c r="F12" s="9">
        <v>69.989999999999995</v>
      </c>
      <c r="G12" s="6">
        <v>69.989999999999995</v>
      </c>
      <c r="H12" s="4" t="s">
        <v>1729</v>
      </c>
      <c r="I12" s="2" t="s">
        <v>2571</v>
      </c>
      <c r="J12" s="10"/>
      <c r="K12" s="6"/>
      <c r="L12" s="6"/>
      <c r="M12" s="2" t="s">
        <v>1970</v>
      </c>
      <c r="N12" s="2" t="s">
        <v>1986</v>
      </c>
      <c r="O12" s="2" t="s">
        <v>1987</v>
      </c>
      <c r="P12" s="2" t="s">
        <v>1988</v>
      </c>
      <c r="Q12" s="2" t="s">
        <v>1730</v>
      </c>
      <c r="R12" s="11" t="str">
        <f>HYPERLINK("http://slimages.macys.com/is/image/MCY/8927307 ")</f>
        <v xml:space="preserve">http://slimages.macys.com/is/image/MCY/8927307 </v>
      </c>
    </row>
    <row r="13" spans="1:18" ht="24.75" x14ac:dyDescent="0.25">
      <c r="A13" s="8" t="s">
        <v>1644</v>
      </c>
      <c r="B13" s="2" t="s">
        <v>1645</v>
      </c>
      <c r="C13" s="4">
        <v>1</v>
      </c>
      <c r="D13" s="6">
        <v>26.99</v>
      </c>
      <c r="E13" s="6">
        <v>26.99</v>
      </c>
      <c r="F13" s="9">
        <v>79.989999999999995</v>
      </c>
      <c r="G13" s="6">
        <v>79.989999999999995</v>
      </c>
      <c r="H13" s="4">
        <v>10001969100</v>
      </c>
      <c r="I13" s="2" t="s">
        <v>2430</v>
      </c>
      <c r="J13" s="10"/>
      <c r="K13" s="6"/>
      <c r="L13" s="6"/>
      <c r="M13" s="2" t="s">
        <v>1970</v>
      </c>
      <c r="N13" s="2" t="s">
        <v>2684</v>
      </c>
      <c r="O13" s="2" t="s">
        <v>1017</v>
      </c>
      <c r="P13" s="2" t="s">
        <v>1988</v>
      </c>
      <c r="Q13" s="2" t="s">
        <v>1646</v>
      </c>
      <c r="R13" s="11" t="str">
        <f>HYPERLINK("http://slimages.macys.com/is/image/MCY/9706171 ")</f>
        <v xml:space="preserve">http://slimages.macys.com/is/image/MCY/9706171 </v>
      </c>
    </row>
    <row r="14" spans="1:18" ht="24.75" x14ac:dyDescent="0.25">
      <c r="A14" s="8" t="s">
        <v>1731</v>
      </c>
      <c r="B14" s="2" t="s">
        <v>1732</v>
      </c>
      <c r="C14" s="4">
        <v>1</v>
      </c>
      <c r="D14" s="6">
        <v>23</v>
      </c>
      <c r="E14" s="6">
        <v>23</v>
      </c>
      <c r="F14" s="9">
        <v>67.989999999999995</v>
      </c>
      <c r="G14" s="6">
        <v>67.989999999999995</v>
      </c>
      <c r="H14" s="4" t="s">
        <v>1732</v>
      </c>
      <c r="I14" s="2" t="s">
        <v>2021</v>
      </c>
      <c r="J14" s="10"/>
      <c r="K14" s="6"/>
      <c r="L14" s="6"/>
      <c r="M14" s="2" t="s">
        <v>1970</v>
      </c>
      <c r="N14" s="2" t="s">
        <v>2012</v>
      </c>
      <c r="O14" s="2" t="s">
        <v>1733</v>
      </c>
      <c r="P14" s="2" t="s">
        <v>1988</v>
      </c>
      <c r="Q14" s="2" t="s">
        <v>1995</v>
      </c>
      <c r="R14" s="11" t="str">
        <f>HYPERLINK("http://slimages.macys.com/is/image/MCY/13066098 ")</f>
        <v xml:space="preserve">http://slimages.macys.com/is/image/MCY/13066098 </v>
      </c>
    </row>
    <row r="15" spans="1:18" ht="36.75" x14ac:dyDescent="0.25">
      <c r="A15" s="8" t="s">
        <v>1734</v>
      </c>
      <c r="B15" s="2" t="s">
        <v>1735</v>
      </c>
      <c r="C15" s="4">
        <v>1</v>
      </c>
      <c r="D15" s="6">
        <v>23</v>
      </c>
      <c r="E15" s="6">
        <v>23</v>
      </c>
      <c r="F15" s="9">
        <v>73.989999999999995</v>
      </c>
      <c r="G15" s="6">
        <v>73.989999999999995</v>
      </c>
      <c r="H15" s="4" t="s">
        <v>1736</v>
      </c>
      <c r="I15" s="2" t="s">
        <v>2017</v>
      </c>
      <c r="J15" s="10"/>
      <c r="K15" s="6"/>
      <c r="L15" s="6"/>
      <c r="M15" s="2" t="s">
        <v>1970</v>
      </c>
      <c r="N15" s="2" t="s">
        <v>1986</v>
      </c>
      <c r="O15" s="2" t="s">
        <v>1987</v>
      </c>
      <c r="P15" s="2" t="s">
        <v>1988</v>
      </c>
      <c r="Q15" s="2" t="s">
        <v>1737</v>
      </c>
      <c r="R15" s="11" t="str">
        <f>HYPERLINK("http://slimages.macys.com/is/image/MCY/10074266 ")</f>
        <v xml:space="preserve">http://slimages.macys.com/is/image/MCY/10074266 </v>
      </c>
    </row>
    <row r="16" spans="1:18" ht="24.75" x14ac:dyDescent="0.25">
      <c r="A16" s="8" t="s">
        <v>2169</v>
      </c>
      <c r="B16" s="2" t="s">
        <v>1738</v>
      </c>
      <c r="C16" s="4">
        <v>2</v>
      </c>
      <c r="D16" s="6">
        <v>17.100000000000001</v>
      </c>
      <c r="E16" s="6">
        <v>34.200000000000003</v>
      </c>
      <c r="F16" s="9">
        <v>64.989999999999995</v>
      </c>
      <c r="G16" s="6">
        <v>129.97999999999999</v>
      </c>
      <c r="H16" s="4">
        <v>17303</v>
      </c>
      <c r="I16" s="2" t="s">
        <v>2026</v>
      </c>
      <c r="J16" s="10"/>
      <c r="K16" s="6"/>
      <c r="L16" s="6"/>
      <c r="M16" s="2" t="s">
        <v>1970</v>
      </c>
      <c r="N16" s="2" t="s">
        <v>2005</v>
      </c>
      <c r="O16" s="2" t="s">
        <v>2098</v>
      </c>
      <c r="P16" s="2" t="s">
        <v>1988</v>
      </c>
      <c r="Q16" s="2" t="s">
        <v>1995</v>
      </c>
      <c r="R16" s="11" t="str">
        <f>HYPERLINK("http://slimages.macys.com/is/image/MCY/9850137 ")</f>
        <v xml:space="preserve">http://slimages.macys.com/is/image/MCY/9850137 </v>
      </c>
    </row>
    <row r="17" spans="1:18" ht="24.75" x14ac:dyDescent="0.25">
      <c r="A17" s="8" t="s">
        <v>1739</v>
      </c>
      <c r="B17" s="2" t="s">
        <v>1074</v>
      </c>
      <c r="C17" s="4">
        <v>2</v>
      </c>
      <c r="D17" s="6">
        <v>15.3</v>
      </c>
      <c r="E17" s="6">
        <v>30.6</v>
      </c>
      <c r="F17" s="9">
        <v>39.99</v>
      </c>
      <c r="G17" s="6">
        <v>79.98</v>
      </c>
      <c r="H17" s="4" t="s">
        <v>1740</v>
      </c>
      <c r="I17" s="2" t="s">
        <v>2057</v>
      </c>
      <c r="J17" s="10"/>
      <c r="K17" s="6"/>
      <c r="L17" s="6"/>
      <c r="M17" s="2" t="s">
        <v>1970</v>
      </c>
      <c r="N17" s="2" t="s">
        <v>2012</v>
      </c>
      <c r="O17" s="2" t="s">
        <v>2627</v>
      </c>
      <c r="P17" s="2" t="s">
        <v>1988</v>
      </c>
      <c r="Q17" s="2" t="s">
        <v>1995</v>
      </c>
      <c r="R17" s="11" t="str">
        <f>HYPERLINK("http://slimages.macys.com/is/image/MCY/11303384 ")</f>
        <v xml:space="preserve">http://slimages.macys.com/is/image/MCY/11303384 </v>
      </c>
    </row>
    <row r="18" spans="1:18" ht="24.75" x14ac:dyDescent="0.25">
      <c r="A18" s="8" t="s">
        <v>1741</v>
      </c>
      <c r="B18" s="2" t="s">
        <v>1742</v>
      </c>
      <c r="C18" s="4">
        <v>1</v>
      </c>
      <c r="D18" s="6">
        <v>17.600000000000001</v>
      </c>
      <c r="E18" s="6">
        <v>17.600000000000001</v>
      </c>
      <c r="F18" s="9">
        <v>39.99</v>
      </c>
      <c r="G18" s="6">
        <v>39.99</v>
      </c>
      <c r="H18" s="4">
        <v>1000695600</v>
      </c>
      <c r="I18" s="2" t="s">
        <v>2571</v>
      </c>
      <c r="J18" s="10"/>
      <c r="K18" s="6"/>
      <c r="L18" s="6"/>
      <c r="M18" s="2" t="s">
        <v>1970</v>
      </c>
      <c r="N18" s="2" t="s">
        <v>2846</v>
      </c>
      <c r="O18" s="2" t="s">
        <v>2847</v>
      </c>
      <c r="P18" s="2" t="s">
        <v>1988</v>
      </c>
      <c r="Q18" s="2"/>
      <c r="R18" s="11" t="str">
        <f>HYPERLINK("http://slimages.macys.com/is/image/MCY/9569288 ")</f>
        <v xml:space="preserve">http://slimages.macys.com/is/image/MCY/9569288 </v>
      </c>
    </row>
    <row r="19" spans="1:18" ht="24.75" x14ac:dyDescent="0.25">
      <c r="A19" s="8" t="s">
        <v>1743</v>
      </c>
      <c r="B19" s="2" t="s">
        <v>1744</v>
      </c>
      <c r="C19" s="4">
        <v>1</v>
      </c>
      <c r="D19" s="6">
        <v>14.89</v>
      </c>
      <c r="E19" s="6">
        <v>14.89</v>
      </c>
      <c r="F19" s="9">
        <v>33.99</v>
      </c>
      <c r="G19" s="6">
        <v>33.99</v>
      </c>
      <c r="H19" s="4" t="s">
        <v>1745</v>
      </c>
      <c r="I19" s="2"/>
      <c r="J19" s="10"/>
      <c r="K19" s="6"/>
      <c r="L19" s="6"/>
      <c r="M19" s="2" t="s">
        <v>1970</v>
      </c>
      <c r="N19" s="2" t="s">
        <v>2012</v>
      </c>
      <c r="O19" s="2" t="s">
        <v>1987</v>
      </c>
      <c r="P19" s="2" t="s">
        <v>1988</v>
      </c>
      <c r="Q19" s="2"/>
      <c r="R19" s="11" t="str">
        <f>HYPERLINK("http://slimages.macys.com/is/image/MCY/9953914 ")</f>
        <v xml:space="preserve">http://slimages.macys.com/is/image/MCY/9953914 </v>
      </c>
    </row>
    <row r="20" spans="1:18" ht="24.75" x14ac:dyDescent="0.25">
      <c r="A20" s="8" t="s">
        <v>1746</v>
      </c>
      <c r="B20" s="2" t="s">
        <v>1747</v>
      </c>
      <c r="C20" s="4">
        <v>4</v>
      </c>
      <c r="D20" s="6">
        <v>14.39</v>
      </c>
      <c r="E20" s="6">
        <v>57.56</v>
      </c>
      <c r="F20" s="9">
        <v>35.99</v>
      </c>
      <c r="G20" s="6">
        <v>143.96</v>
      </c>
      <c r="H20" s="4" t="s">
        <v>1748</v>
      </c>
      <c r="I20" s="2" t="s">
        <v>1993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2827</v>
      </c>
      <c r="R20" s="11" t="str">
        <f>HYPERLINK("http://slimages.macys.com/is/image/MCY/8216605 ")</f>
        <v xml:space="preserve">http://slimages.macys.com/is/image/MCY/8216605 </v>
      </c>
    </row>
    <row r="21" spans="1:18" ht="24.75" x14ac:dyDescent="0.25">
      <c r="A21" s="8" t="s">
        <v>1749</v>
      </c>
      <c r="B21" s="2" t="s">
        <v>1750</v>
      </c>
      <c r="C21" s="4">
        <v>1</v>
      </c>
      <c r="D21" s="6">
        <v>16.260000000000002</v>
      </c>
      <c r="E21" s="6">
        <v>16.260000000000002</v>
      </c>
      <c r="F21" s="9">
        <v>44.99</v>
      </c>
      <c r="G21" s="6">
        <v>44.99</v>
      </c>
      <c r="H21" s="4" t="s">
        <v>1751</v>
      </c>
      <c r="I21" s="2" t="s">
        <v>2048</v>
      </c>
      <c r="J21" s="10"/>
      <c r="K21" s="6"/>
      <c r="L21" s="6"/>
      <c r="M21" s="2" t="s">
        <v>1970</v>
      </c>
      <c r="N21" s="2" t="s">
        <v>1986</v>
      </c>
      <c r="O21" s="2" t="s">
        <v>1994</v>
      </c>
      <c r="P21" s="2" t="s">
        <v>1988</v>
      </c>
      <c r="Q21" s="2" t="s">
        <v>2585</v>
      </c>
      <c r="R21" s="11" t="str">
        <f>HYPERLINK("http://slimages.macys.com/is/image/MCY/10005660 ")</f>
        <v xml:space="preserve">http://slimages.macys.com/is/image/MCY/10005660 </v>
      </c>
    </row>
    <row r="22" spans="1:18" ht="24.75" x14ac:dyDescent="0.25">
      <c r="A22" s="8" t="s">
        <v>2822</v>
      </c>
      <c r="B22" s="2" t="s">
        <v>1752</v>
      </c>
      <c r="C22" s="4">
        <v>6</v>
      </c>
      <c r="D22" s="6">
        <v>13.64</v>
      </c>
      <c r="E22" s="6">
        <v>81.84</v>
      </c>
      <c r="F22" s="9">
        <v>34.99</v>
      </c>
      <c r="G22" s="6">
        <v>209.94</v>
      </c>
      <c r="H22" s="4" t="s">
        <v>2824</v>
      </c>
      <c r="I22" s="2" t="s">
        <v>2825</v>
      </c>
      <c r="J22" s="10" t="s">
        <v>2826</v>
      </c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 t="s">
        <v>2827</v>
      </c>
      <c r="R22" s="11" t="str">
        <f>HYPERLINK("http://slimages.macys.com/is/image/MCY/8810083 ")</f>
        <v xml:space="preserve">http://slimages.macys.com/is/image/MCY/8810083 </v>
      </c>
    </row>
    <row r="23" spans="1:18" ht="24.75" x14ac:dyDescent="0.25">
      <c r="A23" s="8" t="s">
        <v>1753</v>
      </c>
      <c r="B23" s="2" t="s">
        <v>1754</v>
      </c>
      <c r="C23" s="4">
        <v>4</v>
      </c>
      <c r="D23" s="6">
        <v>10.42</v>
      </c>
      <c r="E23" s="6">
        <v>41.68</v>
      </c>
      <c r="F23" s="9">
        <v>19.989999999999998</v>
      </c>
      <c r="G23" s="6">
        <v>79.959999999999994</v>
      </c>
      <c r="H23" s="4" t="s">
        <v>1755</v>
      </c>
      <c r="I23" s="2" t="s">
        <v>1993</v>
      </c>
      <c r="J23" s="10" t="s">
        <v>2072</v>
      </c>
      <c r="K23" s="6"/>
      <c r="L23" s="6"/>
      <c r="M23" s="2" t="s">
        <v>1970</v>
      </c>
      <c r="N23" s="2" t="s">
        <v>2012</v>
      </c>
      <c r="O23" s="2" t="s">
        <v>1987</v>
      </c>
      <c r="P23" s="2" t="s">
        <v>1988</v>
      </c>
      <c r="Q23" s="2" t="s">
        <v>1112</v>
      </c>
      <c r="R23" s="11" t="str">
        <f>HYPERLINK("http://slimages.macys.com/is/image/MCY/9602450 ")</f>
        <v xml:space="preserve">http://slimages.macys.com/is/image/MCY/9602450 </v>
      </c>
    </row>
    <row r="24" spans="1:18" ht="24.75" x14ac:dyDescent="0.25">
      <c r="A24" s="8" t="s">
        <v>1756</v>
      </c>
      <c r="B24" s="2" t="s">
        <v>1757</v>
      </c>
      <c r="C24" s="4">
        <v>1</v>
      </c>
      <c r="D24" s="6">
        <v>8.6</v>
      </c>
      <c r="E24" s="6">
        <v>8.6</v>
      </c>
      <c r="F24" s="9">
        <v>19.989999999999998</v>
      </c>
      <c r="G24" s="6">
        <v>19.989999999999998</v>
      </c>
      <c r="H24" s="4" t="s">
        <v>1758</v>
      </c>
      <c r="I24" s="2" t="s">
        <v>2071</v>
      </c>
      <c r="J24" s="10" t="s">
        <v>2037</v>
      </c>
      <c r="K24" s="6"/>
      <c r="L24" s="6"/>
      <c r="M24" s="2" t="s">
        <v>1970</v>
      </c>
      <c r="N24" s="2" t="s">
        <v>2005</v>
      </c>
      <c r="O24" s="2" t="s">
        <v>1759</v>
      </c>
      <c r="P24" s="2" t="s">
        <v>2499</v>
      </c>
      <c r="Q24" s="2"/>
      <c r="R24" s="11" t="str">
        <f>HYPERLINK("http://slimages.macys.com/is/image/MCY/11532038 ")</f>
        <v xml:space="preserve">http://slimages.macys.com/is/image/MCY/11532038 </v>
      </c>
    </row>
    <row r="25" spans="1:18" ht="24.75" x14ac:dyDescent="0.25">
      <c r="A25" s="8" t="s">
        <v>1760</v>
      </c>
      <c r="B25" s="2" t="s">
        <v>1761</v>
      </c>
      <c r="C25" s="4">
        <v>1</v>
      </c>
      <c r="D25" s="6">
        <v>8.6</v>
      </c>
      <c r="E25" s="6">
        <v>8.6</v>
      </c>
      <c r="F25" s="9">
        <v>19.989999999999998</v>
      </c>
      <c r="G25" s="6">
        <v>19.989999999999998</v>
      </c>
      <c r="H25" s="4">
        <v>19490</v>
      </c>
      <c r="I25" s="2" t="s">
        <v>2026</v>
      </c>
      <c r="J25" s="10" t="s">
        <v>2107</v>
      </c>
      <c r="K25" s="6"/>
      <c r="L25" s="6"/>
      <c r="M25" s="2" t="s">
        <v>1970</v>
      </c>
      <c r="N25" s="2" t="s">
        <v>2005</v>
      </c>
      <c r="O25" s="2" t="s">
        <v>1759</v>
      </c>
      <c r="P25" s="2" t="s">
        <v>2499</v>
      </c>
      <c r="Q25" s="2"/>
      <c r="R25" s="11" t="str">
        <f>HYPERLINK("http://slimages.macys.com/is/image/MCY/9270651 ")</f>
        <v xml:space="preserve">http://slimages.macys.com/is/image/MCY/9270651 </v>
      </c>
    </row>
    <row r="26" spans="1:18" ht="24.75" x14ac:dyDescent="0.25">
      <c r="A26" s="8" t="s">
        <v>1762</v>
      </c>
      <c r="B26" s="2" t="s">
        <v>1763</v>
      </c>
      <c r="C26" s="4">
        <v>8</v>
      </c>
      <c r="D26" s="6">
        <v>8.48</v>
      </c>
      <c r="E26" s="6">
        <v>67.84</v>
      </c>
      <c r="F26" s="9">
        <v>17.989999999999998</v>
      </c>
      <c r="G26" s="6">
        <v>143.91999999999999</v>
      </c>
      <c r="H26" s="4">
        <v>43342</v>
      </c>
      <c r="I26" s="2" t="s">
        <v>2200</v>
      </c>
      <c r="J26" s="10" t="s">
        <v>2472</v>
      </c>
      <c r="K26" s="6"/>
      <c r="L26" s="6"/>
      <c r="M26" s="2" t="s">
        <v>1970</v>
      </c>
      <c r="N26" s="2" t="s">
        <v>2012</v>
      </c>
      <c r="O26" s="2" t="s">
        <v>2203</v>
      </c>
      <c r="P26" s="2" t="s">
        <v>1988</v>
      </c>
      <c r="Q26" s="2" t="s">
        <v>1995</v>
      </c>
      <c r="R26" s="11" t="str">
        <f>HYPERLINK("http://slimages.macys.com/is/image/MCY/10009173 ")</f>
        <v xml:space="preserve">http://slimages.macys.com/is/image/MCY/10009173 </v>
      </c>
    </row>
    <row r="27" spans="1:18" ht="24.75" x14ac:dyDescent="0.25">
      <c r="A27" s="8" t="s">
        <v>1764</v>
      </c>
      <c r="B27" s="2" t="s">
        <v>1765</v>
      </c>
      <c r="C27" s="4">
        <v>1</v>
      </c>
      <c r="D27" s="6">
        <v>8.48</v>
      </c>
      <c r="E27" s="6">
        <v>8.48</v>
      </c>
      <c r="F27" s="9">
        <v>14.99</v>
      </c>
      <c r="G27" s="6">
        <v>14.99</v>
      </c>
      <c r="H27" s="4" t="s">
        <v>1766</v>
      </c>
      <c r="I27" s="2" t="s">
        <v>1993</v>
      </c>
      <c r="J27" s="10"/>
      <c r="K27" s="6"/>
      <c r="L27" s="6"/>
      <c r="M27" s="2" t="s">
        <v>1970</v>
      </c>
      <c r="N27" s="2" t="s">
        <v>2012</v>
      </c>
      <c r="O27" s="2" t="s">
        <v>2203</v>
      </c>
      <c r="P27" s="2" t="s">
        <v>1988</v>
      </c>
      <c r="Q27" s="2" t="s">
        <v>1995</v>
      </c>
      <c r="R27" s="11" t="str">
        <f>HYPERLINK("http://slimages.macys.com/is/image/MCY/9197452 ")</f>
        <v xml:space="preserve">http://slimages.macys.com/is/image/MCY/9197452 </v>
      </c>
    </row>
    <row r="28" spans="1:18" ht="24.75" x14ac:dyDescent="0.25">
      <c r="A28" s="8" t="s">
        <v>1565</v>
      </c>
      <c r="B28" s="2" t="s">
        <v>1566</v>
      </c>
      <c r="C28" s="4">
        <v>2</v>
      </c>
      <c r="D28" s="6">
        <v>6.45</v>
      </c>
      <c r="E28" s="6">
        <v>12.9</v>
      </c>
      <c r="F28" s="9">
        <v>17.989999999999998</v>
      </c>
      <c r="G28" s="6">
        <v>35.979999999999997</v>
      </c>
      <c r="H28" s="4" t="s">
        <v>1567</v>
      </c>
      <c r="I28" s="2" t="s">
        <v>2087</v>
      </c>
      <c r="J28" s="10"/>
      <c r="K28" s="6"/>
      <c r="L28" s="6"/>
      <c r="M28" s="2" t="s">
        <v>1970</v>
      </c>
      <c r="N28" s="2" t="s">
        <v>2012</v>
      </c>
      <c r="O28" s="2" t="s">
        <v>2416</v>
      </c>
      <c r="P28" s="2" t="s">
        <v>1988</v>
      </c>
      <c r="Q28" s="2" t="s">
        <v>2688</v>
      </c>
      <c r="R28" s="11" t="str">
        <f>HYPERLINK("http://slimages.macys.com/is/image/MCY/913783 ")</f>
        <v xml:space="preserve">http://slimages.macys.com/is/image/MCY/913783 </v>
      </c>
    </row>
    <row r="29" spans="1:18" ht="24.75" x14ac:dyDescent="0.25">
      <c r="A29" s="8" t="s">
        <v>1767</v>
      </c>
      <c r="B29" s="2" t="s">
        <v>1768</v>
      </c>
      <c r="C29" s="4">
        <v>5</v>
      </c>
      <c r="D29" s="6">
        <v>5.55</v>
      </c>
      <c r="E29" s="6">
        <v>27.75</v>
      </c>
      <c r="F29" s="9">
        <v>9.99</v>
      </c>
      <c r="G29" s="6">
        <v>49.95</v>
      </c>
      <c r="H29" s="4">
        <v>1638720</v>
      </c>
      <c r="I29" s="2" t="s">
        <v>2026</v>
      </c>
      <c r="J29" s="10"/>
      <c r="K29" s="6"/>
      <c r="L29" s="6"/>
      <c r="M29" s="2" t="s">
        <v>1970</v>
      </c>
      <c r="N29" s="2" t="s">
        <v>2005</v>
      </c>
      <c r="O29" s="2" t="s">
        <v>1769</v>
      </c>
      <c r="P29" s="2" t="s">
        <v>1988</v>
      </c>
      <c r="Q29" s="2"/>
      <c r="R29" s="11" t="str">
        <f>HYPERLINK("http://slimages.macys.com/is/image/MCY/11640322 ")</f>
        <v xml:space="preserve">http://slimages.macys.com/is/image/MCY/11640322 </v>
      </c>
    </row>
    <row r="30" spans="1:18" ht="24.75" x14ac:dyDescent="0.25">
      <c r="A30" s="8" t="s">
        <v>1770</v>
      </c>
      <c r="B30" s="2" t="s">
        <v>1771</v>
      </c>
      <c r="C30" s="4">
        <v>1</v>
      </c>
      <c r="D30" s="6">
        <v>6.1</v>
      </c>
      <c r="E30" s="6">
        <v>6.1</v>
      </c>
      <c r="F30" s="9">
        <v>13.99</v>
      </c>
      <c r="G30" s="6">
        <v>13.99</v>
      </c>
      <c r="H30" s="4" t="s">
        <v>1772</v>
      </c>
      <c r="I30" s="2" t="s">
        <v>2026</v>
      </c>
      <c r="J30" s="10"/>
      <c r="K30" s="6"/>
      <c r="L30" s="6"/>
      <c r="M30" s="2" t="s">
        <v>1970</v>
      </c>
      <c r="N30" s="2" t="s">
        <v>991</v>
      </c>
      <c r="O30" s="2" t="s">
        <v>1773</v>
      </c>
      <c r="P30" s="2" t="s">
        <v>2499</v>
      </c>
      <c r="Q30" s="2"/>
      <c r="R30" s="11" t="str">
        <f>HYPERLINK("http://slimages.macys.com/is/image/MCY/14346782 ")</f>
        <v xml:space="preserve">http://slimages.macys.com/is/image/MCY/14346782 </v>
      </c>
    </row>
    <row r="31" spans="1:18" ht="24.75" x14ac:dyDescent="0.25">
      <c r="A31" s="8" t="s">
        <v>1774</v>
      </c>
      <c r="B31" s="2" t="s">
        <v>1775</v>
      </c>
      <c r="C31" s="4">
        <v>1</v>
      </c>
      <c r="D31" s="6">
        <v>4.24</v>
      </c>
      <c r="E31" s="6">
        <v>4.24</v>
      </c>
      <c r="F31" s="9">
        <v>9.99</v>
      </c>
      <c r="G31" s="6">
        <v>9.99</v>
      </c>
      <c r="H31" s="4" t="s">
        <v>1776</v>
      </c>
      <c r="I31" s="2" t="s">
        <v>2071</v>
      </c>
      <c r="J31" s="10" t="s">
        <v>2092</v>
      </c>
      <c r="K31" s="6"/>
      <c r="L31" s="6"/>
      <c r="M31" s="2" t="s">
        <v>1970</v>
      </c>
      <c r="N31" s="2" t="s">
        <v>2851</v>
      </c>
      <c r="O31" s="2" t="s">
        <v>2847</v>
      </c>
      <c r="P31" s="2" t="s">
        <v>1988</v>
      </c>
      <c r="Q31" s="2" t="s">
        <v>1237</v>
      </c>
      <c r="R31" s="11" t="str">
        <f>HYPERLINK("http://slimages.macys.com/is/image/MCY/2544464 ")</f>
        <v xml:space="preserve">http://slimages.macys.com/is/image/MCY/2544464 </v>
      </c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3"/>
  <sheetViews>
    <sheetView topLeftCell="A32" workbookViewId="0">
      <selection activeCell="I62" sqref="I62"/>
    </sheetView>
  </sheetViews>
  <sheetFormatPr defaultRowHeight="15" x14ac:dyDescent="0.25"/>
  <cols>
    <col min="1" max="1" width="14.28515625" customWidth="1"/>
    <col min="2" max="2" width="22.85546875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5.425781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180.75" x14ac:dyDescent="0.25">
      <c r="A2" s="8" t="s">
        <v>1777</v>
      </c>
      <c r="B2" s="2" t="s">
        <v>1778</v>
      </c>
      <c r="C2" s="4">
        <v>1</v>
      </c>
      <c r="D2" s="6">
        <v>90.41</v>
      </c>
      <c r="E2" s="6">
        <v>90.41</v>
      </c>
      <c r="F2" s="9">
        <v>244.99</v>
      </c>
      <c r="G2" s="6">
        <v>244.99</v>
      </c>
      <c r="H2" s="4" t="s">
        <v>1779</v>
      </c>
      <c r="I2" s="2" t="s">
        <v>2294</v>
      </c>
      <c r="J2" s="10"/>
      <c r="K2" s="6"/>
      <c r="L2" s="6"/>
      <c r="M2" s="2" t="s">
        <v>1970</v>
      </c>
      <c r="N2" s="2" t="s">
        <v>1986</v>
      </c>
      <c r="O2" s="2" t="s">
        <v>1987</v>
      </c>
      <c r="P2" s="2" t="s">
        <v>1988</v>
      </c>
      <c r="Q2" s="2" t="s">
        <v>2617</v>
      </c>
      <c r="R2" s="11" t="str">
        <f>HYPERLINK("http://slimages.macys.com/is/image/MCY/9566733 ")</f>
        <v xml:space="preserve">http://slimages.macys.com/is/image/MCY/9566733 </v>
      </c>
    </row>
    <row r="3" spans="1:18" ht="120.75" x14ac:dyDescent="0.25">
      <c r="A3" s="8" t="s">
        <v>1780</v>
      </c>
      <c r="B3" s="2" t="s">
        <v>1781</v>
      </c>
      <c r="C3" s="4">
        <v>1</v>
      </c>
      <c r="D3" s="6">
        <v>63.29</v>
      </c>
      <c r="E3" s="6">
        <v>63.29</v>
      </c>
      <c r="F3" s="9">
        <v>169.99</v>
      </c>
      <c r="G3" s="6">
        <v>169.99</v>
      </c>
      <c r="H3" s="4" t="s">
        <v>1782</v>
      </c>
      <c r="I3" s="2" t="s">
        <v>2177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1783</v>
      </c>
      <c r="R3" s="11" t="str">
        <f>HYPERLINK("http://slimages.macys.com/is/image/MCY/9627841 ")</f>
        <v xml:space="preserve">http://slimages.macys.com/is/image/MCY/9627841 </v>
      </c>
    </row>
    <row r="4" spans="1:18" ht="120.75" x14ac:dyDescent="0.25">
      <c r="A4" s="8" t="s">
        <v>1784</v>
      </c>
      <c r="B4" s="2" t="s">
        <v>1785</v>
      </c>
      <c r="C4" s="4">
        <v>1</v>
      </c>
      <c r="D4" s="6">
        <v>58.02</v>
      </c>
      <c r="E4" s="6">
        <v>58.02</v>
      </c>
      <c r="F4" s="9">
        <v>157.99</v>
      </c>
      <c r="G4" s="6">
        <v>157.99</v>
      </c>
      <c r="H4" s="4" t="s">
        <v>1786</v>
      </c>
      <c r="I4" s="2" t="s">
        <v>1985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1787</v>
      </c>
      <c r="R4" s="11" t="str">
        <f>HYPERLINK("http://slimages.macys.com/is/image/MCY/14430933 ")</f>
        <v xml:space="preserve">http://slimages.macys.com/is/image/MCY/14430933 </v>
      </c>
    </row>
    <row r="5" spans="1:18" ht="60.75" x14ac:dyDescent="0.25">
      <c r="A5" s="8" t="s">
        <v>1788</v>
      </c>
      <c r="B5" s="2" t="s">
        <v>1789</v>
      </c>
      <c r="C5" s="4">
        <v>1</v>
      </c>
      <c r="D5" s="6">
        <v>56.42</v>
      </c>
      <c r="E5" s="6">
        <v>56.42</v>
      </c>
      <c r="F5" s="9">
        <v>202.99</v>
      </c>
      <c r="G5" s="6">
        <v>202.99</v>
      </c>
      <c r="H5" s="4">
        <v>72376</v>
      </c>
      <c r="I5" s="2" t="s">
        <v>2424</v>
      </c>
      <c r="J5" s="10"/>
      <c r="K5" s="6"/>
      <c r="L5" s="6"/>
      <c r="M5" s="2" t="s">
        <v>1970</v>
      </c>
      <c r="N5" s="2" t="s">
        <v>1986</v>
      </c>
      <c r="O5" s="2" t="s">
        <v>1999</v>
      </c>
      <c r="P5" s="2" t="s">
        <v>1988</v>
      </c>
      <c r="Q5" s="2" t="s">
        <v>2000</v>
      </c>
      <c r="R5" s="11" t="str">
        <f>HYPERLINK("http://slimages.macys.com/is/image/MCY/11686252 ")</f>
        <v xml:space="preserve">http://slimages.macys.com/is/image/MCY/11686252 </v>
      </c>
    </row>
    <row r="6" spans="1:18" ht="120.75" x14ac:dyDescent="0.25">
      <c r="A6" s="8" t="s">
        <v>1790</v>
      </c>
      <c r="B6" s="2" t="s">
        <v>1791</v>
      </c>
      <c r="C6" s="4">
        <v>1</v>
      </c>
      <c r="D6" s="6">
        <v>54.24</v>
      </c>
      <c r="E6" s="6">
        <v>54.24</v>
      </c>
      <c r="F6" s="9">
        <v>149.99</v>
      </c>
      <c r="G6" s="6">
        <v>149.99</v>
      </c>
      <c r="H6" s="4" t="s">
        <v>1792</v>
      </c>
      <c r="I6" s="2" t="s">
        <v>2177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1783</v>
      </c>
      <c r="R6" s="11" t="str">
        <f>HYPERLINK("http://slimages.macys.com/is/image/MCY/9627842 ")</f>
        <v xml:space="preserve">http://slimages.macys.com/is/image/MCY/9627842 </v>
      </c>
    </row>
    <row r="7" spans="1:18" ht="156.75" x14ac:dyDescent="0.25">
      <c r="A7" s="8" t="s">
        <v>1793</v>
      </c>
      <c r="B7" s="2" t="s">
        <v>1794</v>
      </c>
      <c r="C7" s="4">
        <v>1</v>
      </c>
      <c r="D7" s="6">
        <v>47.73</v>
      </c>
      <c r="E7" s="6">
        <v>47.73</v>
      </c>
      <c r="F7" s="9">
        <v>129.99</v>
      </c>
      <c r="G7" s="6">
        <v>129.99</v>
      </c>
      <c r="H7" s="4" t="s">
        <v>1795</v>
      </c>
      <c r="I7" s="2" t="s">
        <v>1993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2363</v>
      </c>
      <c r="R7" s="11" t="str">
        <f>HYPERLINK("http://slimages.macys.com/is/image/MCY/9627969 ")</f>
        <v xml:space="preserve">http://slimages.macys.com/is/image/MCY/9627969 </v>
      </c>
    </row>
    <row r="8" spans="1:18" ht="24.75" x14ac:dyDescent="0.25">
      <c r="A8" s="8" t="s">
        <v>1796</v>
      </c>
      <c r="B8" s="2" t="s">
        <v>1797</v>
      </c>
      <c r="C8" s="4">
        <v>1</v>
      </c>
      <c r="D8" s="6">
        <v>45.03</v>
      </c>
      <c r="E8" s="6">
        <v>45.03</v>
      </c>
      <c r="F8" s="9">
        <v>139.99</v>
      </c>
      <c r="G8" s="6">
        <v>139.99</v>
      </c>
      <c r="H8" s="4" t="s">
        <v>1798</v>
      </c>
      <c r="I8" s="2" t="s">
        <v>2424</v>
      </c>
      <c r="J8" s="10" t="s">
        <v>1799</v>
      </c>
      <c r="K8" s="6"/>
      <c r="L8" s="6"/>
      <c r="M8" s="2" t="s">
        <v>1970</v>
      </c>
      <c r="N8" s="2" t="s">
        <v>2684</v>
      </c>
      <c r="O8" s="2" t="s">
        <v>1800</v>
      </c>
      <c r="P8" s="2" t="s">
        <v>1988</v>
      </c>
      <c r="Q8" s="2" t="s">
        <v>1801</v>
      </c>
      <c r="R8" s="11" t="str">
        <f>HYPERLINK("http://slimages.macys.com/is/image/MCY/8865396 ")</f>
        <v xml:space="preserve">http://slimages.macys.com/is/image/MCY/8865396 </v>
      </c>
    </row>
    <row r="9" spans="1:18" ht="24.75" x14ac:dyDescent="0.25">
      <c r="A9" s="8" t="s">
        <v>1802</v>
      </c>
      <c r="B9" s="2" t="s">
        <v>1803</v>
      </c>
      <c r="C9" s="4">
        <v>1</v>
      </c>
      <c r="D9" s="6">
        <v>41.04</v>
      </c>
      <c r="E9" s="6">
        <v>41.04</v>
      </c>
      <c r="F9" s="9">
        <v>109.99</v>
      </c>
      <c r="G9" s="6">
        <v>109.99</v>
      </c>
      <c r="H9" s="4" t="s">
        <v>1804</v>
      </c>
      <c r="I9" s="2" t="s">
        <v>2026</v>
      </c>
      <c r="J9" s="10"/>
      <c r="K9" s="6"/>
      <c r="L9" s="6"/>
      <c r="M9" s="2" t="s">
        <v>1970</v>
      </c>
      <c r="N9" s="2" t="s">
        <v>2386</v>
      </c>
      <c r="O9" s="2" t="s">
        <v>2932</v>
      </c>
      <c r="P9" s="2" t="s">
        <v>1988</v>
      </c>
      <c r="Q9" s="2"/>
      <c r="R9" s="11" t="str">
        <f>HYPERLINK("http://slimages.macys.com/is/image/MCY/11320993 ")</f>
        <v xml:space="preserve">http://slimages.macys.com/is/image/MCY/11320993 </v>
      </c>
    </row>
    <row r="10" spans="1:18" ht="24.75" x14ac:dyDescent="0.25">
      <c r="A10" s="8" t="s">
        <v>1805</v>
      </c>
      <c r="B10" s="2" t="s">
        <v>1806</v>
      </c>
      <c r="C10" s="4">
        <v>1</v>
      </c>
      <c r="D10" s="6">
        <v>40</v>
      </c>
      <c r="E10" s="6">
        <v>40</v>
      </c>
      <c r="F10" s="9">
        <v>117.99</v>
      </c>
      <c r="G10" s="6">
        <v>117.99</v>
      </c>
      <c r="H10" s="4" t="s">
        <v>1807</v>
      </c>
      <c r="I10" s="2" t="s">
        <v>2087</v>
      </c>
      <c r="J10" s="10"/>
      <c r="K10" s="6"/>
      <c r="L10" s="6"/>
      <c r="M10" s="2" t="s">
        <v>1970</v>
      </c>
      <c r="N10" s="2" t="s">
        <v>1986</v>
      </c>
      <c r="O10" s="2" t="s">
        <v>1808</v>
      </c>
      <c r="P10" s="2" t="s">
        <v>1988</v>
      </c>
      <c r="Q10" s="2" t="s">
        <v>1809</v>
      </c>
      <c r="R10" s="11" t="str">
        <f>HYPERLINK("http://slimages.macys.com/is/image/MCY/15746171 ")</f>
        <v xml:space="preserve">http://slimages.macys.com/is/image/MCY/15746171 </v>
      </c>
    </row>
    <row r="11" spans="1:18" ht="24.75" x14ac:dyDescent="0.25">
      <c r="A11" s="8" t="s">
        <v>1810</v>
      </c>
      <c r="B11" s="2" t="s">
        <v>1811</v>
      </c>
      <c r="C11" s="4">
        <v>1</v>
      </c>
      <c r="D11" s="6">
        <v>33.97</v>
      </c>
      <c r="E11" s="6">
        <v>33.97</v>
      </c>
      <c r="F11" s="9">
        <v>109.99</v>
      </c>
      <c r="G11" s="6">
        <v>109.99</v>
      </c>
      <c r="H11" s="4" t="s">
        <v>1812</v>
      </c>
      <c r="I11" s="2" t="s">
        <v>2026</v>
      </c>
      <c r="J11" s="10"/>
      <c r="K11" s="6"/>
      <c r="L11" s="6"/>
      <c r="M11" s="2" t="s">
        <v>1970</v>
      </c>
      <c r="N11" s="2" t="s">
        <v>2005</v>
      </c>
      <c r="O11" s="2" t="s">
        <v>1575</v>
      </c>
      <c r="P11" s="2" t="s">
        <v>1988</v>
      </c>
      <c r="Q11" s="2" t="s">
        <v>1168</v>
      </c>
      <c r="R11" s="11" t="str">
        <f>HYPERLINK("http://slimages.macys.com/is/image/MCY/3631689 ")</f>
        <v xml:space="preserve">http://slimages.macys.com/is/image/MCY/3631689 </v>
      </c>
    </row>
    <row r="12" spans="1:18" ht="24.75" x14ac:dyDescent="0.25">
      <c r="A12" s="8" t="s">
        <v>1813</v>
      </c>
      <c r="B12" s="2" t="s">
        <v>1814</v>
      </c>
      <c r="C12" s="4">
        <v>1</v>
      </c>
      <c r="D12" s="6">
        <v>38.46</v>
      </c>
      <c r="E12" s="6">
        <v>38.46</v>
      </c>
      <c r="F12" s="9">
        <v>89.99</v>
      </c>
      <c r="G12" s="6">
        <v>89.99</v>
      </c>
      <c r="H12" s="4" t="s">
        <v>1815</v>
      </c>
      <c r="I12" s="2" t="s">
        <v>2071</v>
      </c>
      <c r="J12" s="10"/>
      <c r="K12" s="6"/>
      <c r="L12" s="6"/>
      <c r="M12" s="2" t="s">
        <v>1970</v>
      </c>
      <c r="N12" s="2" t="s">
        <v>2684</v>
      </c>
      <c r="O12" s="2" t="s">
        <v>1010</v>
      </c>
      <c r="P12" s="2" t="s">
        <v>1988</v>
      </c>
      <c r="Q12" s="2"/>
      <c r="R12" s="11" t="str">
        <f>HYPERLINK("http://slimages.macys.com/is/image/MCY/8819502 ")</f>
        <v xml:space="preserve">http://slimages.macys.com/is/image/MCY/8819502 </v>
      </c>
    </row>
    <row r="13" spans="1:18" ht="48.75" x14ac:dyDescent="0.25">
      <c r="A13" s="8" t="s">
        <v>1816</v>
      </c>
      <c r="B13" s="2" t="s">
        <v>1817</v>
      </c>
      <c r="C13" s="4">
        <v>1</v>
      </c>
      <c r="D13" s="6">
        <v>35.1</v>
      </c>
      <c r="E13" s="6">
        <v>35.1</v>
      </c>
      <c r="F13" s="9">
        <v>114.99</v>
      </c>
      <c r="G13" s="6">
        <v>114.99</v>
      </c>
      <c r="H13" s="4" t="s">
        <v>1818</v>
      </c>
      <c r="I13" s="2" t="s">
        <v>2026</v>
      </c>
      <c r="J13" s="10" t="s">
        <v>2145</v>
      </c>
      <c r="K13" s="6"/>
      <c r="L13" s="6"/>
      <c r="M13" s="2" t="s">
        <v>1970</v>
      </c>
      <c r="N13" s="2" t="s">
        <v>1986</v>
      </c>
      <c r="O13" s="2" t="s">
        <v>2216</v>
      </c>
      <c r="P13" s="2" t="s">
        <v>1988</v>
      </c>
      <c r="Q13" s="2" t="s">
        <v>2217</v>
      </c>
      <c r="R13" s="11" t="str">
        <f>HYPERLINK("http://slimages.macys.com/is/image/MCY/10781009 ")</f>
        <v xml:space="preserve">http://slimages.macys.com/is/image/MCY/10781009 </v>
      </c>
    </row>
    <row r="14" spans="1:18" ht="24.75" x14ac:dyDescent="0.25">
      <c r="A14" s="8" t="s">
        <v>1819</v>
      </c>
      <c r="B14" s="2" t="s">
        <v>1820</v>
      </c>
      <c r="C14" s="4">
        <v>1</v>
      </c>
      <c r="D14" s="6">
        <v>28.45</v>
      </c>
      <c r="E14" s="6">
        <v>28.45</v>
      </c>
      <c r="F14" s="9">
        <v>59.99</v>
      </c>
      <c r="G14" s="6">
        <v>59.99</v>
      </c>
      <c r="H14" s="4">
        <v>1001278600</v>
      </c>
      <c r="I14" s="2" t="s">
        <v>1993</v>
      </c>
      <c r="J14" s="10"/>
      <c r="K14" s="6"/>
      <c r="L14" s="6"/>
      <c r="M14" s="2" t="s">
        <v>1970</v>
      </c>
      <c r="N14" s="2" t="s">
        <v>2396</v>
      </c>
      <c r="O14" s="2" t="s">
        <v>1010</v>
      </c>
      <c r="P14" s="2" t="s">
        <v>1988</v>
      </c>
      <c r="Q14" s="2" t="s">
        <v>1821</v>
      </c>
      <c r="R14" s="11" t="str">
        <f>HYPERLINK("http://slimages.macys.com/is/image/MCY/9263478 ")</f>
        <v xml:space="preserve">http://slimages.macys.com/is/image/MCY/9263478 </v>
      </c>
    </row>
    <row r="15" spans="1:18" ht="24.75" x14ac:dyDescent="0.25">
      <c r="A15" s="8" t="s">
        <v>1822</v>
      </c>
      <c r="B15" s="2" t="s">
        <v>1823</v>
      </c>
      <c r="C15" s="4">
        <v>2</v>
      </c>
      <c r="D15" s="6">
        <v>26.4</v>
      </c>
      <c r="E15" s="6">
        <v>52.8</v>
      </c>
      <c r="F15" s="9">
        <v>59.99</v>
      </c>
      <c r="G15" s="6">
        <v>119.98</v>
      </c>
      <c r="H15" s="4" t="s">
        <v>1824</v>
      </c>
      <c r="I15" s="2" t="s">
        <v>2021</v>
      </c>
      <c r="J15" s="10" t="s">
        <v>2407</v>
      </c>
      <c r="K15" s="6"/>
      <c r="L15" s="6"/>
      <c r="M15" s="2" t="s">
        <v>1970</v>
      </c>
      <c r="N15" s="2" t="s">
        <v>2396</v>
      </c>
      <c r="O15" s="2" t="s">
        <v>1825</v>
      </c>
      <c r="P15" s="2" t="s">
        <v>1988</v>
      </c>
      <c r="Q15" s="2" t="s">
        <v>2095</v>
      </c>
      <c r="R15" s="11" t="str">
        <f>HYPERLINK("http://slimages.macys.com/is/image/MCY/8531633 ")</f>
        <v xml:space="preserve">http://slimages.macys.com/is/image/MCY/8531633 </v>
      </c>
    </row>
    <row r="16" spans="1:18" ht="24.75" x14ac:dyDescent="0.25">
      <c r="A16" s="8" t="s">
        <v>1474</v>
      </c>
      <c r="B16" s="2" t="s">
        <v>1475</v>
      </c>
      <c r="C16" s="4">
        <v>1</v>
      </c>
      <c r="D16" s="6">
        <v>28.48</v>
      </c>
      <c r="E16" s="6">
        <v>28.48</v>
      </c>
      <c r="F16" s="9">
        <v>69.989999999999995</v>
      </c>
      <c r="G16" s="6">
        <v>69.989999999999995</v>
      </c>
      <c r="H16" s="4" t="s">
        <v>1476</v>
      </c>
      <c r="I16" s="2" t="s">
        <v>2057</v>
      </c>
      <c r="J16" s="10"/>
      <c r="K16" s="6"/>
      <c r="L16" s="6"/>
      <c r="M16" s="2" t="s">
        <v>1970</v>
      </c>
      <c r="N16" s="2" t="s">
        <v>1986</v>
      </c>
      <c r="O16" s="2" t="s">
        <v>1987</v>
      </c>
      <c r="P16" s="2" t="s">
        <v>1988</v>
      </c>
      <c r="Q16" s="2" t="s">
        <v>1995</v>
      </c>
      <c r="R16" s="11" t="str">
        <f>HYPERLINK("http://slimages.macys.com/is/image/MCY/9812356 ")</f>
        <v xml:space="preserve">http://slimages.macys.com/is/image/MCY/9812356 </v>
      </c>
    </row>
    <row r="17" spans="1:18" ht="24.75" x14ac:dyDescent="0.25">
      <c r="A17" s="8" t="s">
        <v>1826</v>
      </c>
      <c r="B17" s="2" t="s">
        <v>1827</v>
      </c>
      <c r="C17" s="4">
        <v>1</v>
      </c>
      <c r="D17" s="6">
        <v>22.5</v>
      </c>
      <c r="E17" s="6">
        <v>22.5</v>
      </c>
      <c r="F17" s="9">
        <v>49.99</v>
      </c>
      <c r="G17" s="6">
        <v>49.99</v>
      </c>
      <c r="H17" s="4" t="s">
        <v>1828</v>
      </c>
      <c r="I17" s="2" t="s">
        <v>2017</v>
      </c>
      <c r="J17" s="10" t="s">
        <v>1829</v>
      </c>
      <c r="K17" s="6"/>
      <c r="L17" s="6"/>
      <c r="M17" s="2" t="s">
        <v>1970</v>
      </c>
      <c r="N17" s="2" t="s">
        <v>2184</v>
      </c>
      <c r="O17" s="2" t="s">
        <v>2351</v>
      </c>
      <c r="P17" s="2" t="s">
        <v>1988</v>
      </c>
      <c r="Q17" s="2" t="s">
        <v>1830</v>
      </c>
      <c r="R17" s="11" t="str">
        <f>HYPERLINK("http://slimages.macys.com/is/image/MCY/1815738 ")</f>
        <v xml:space="preserve">http://slimages.macys.com/is/image/MCY/1815738 </v>
      </c>
    </row>
    <row r="18" spans="1:18" ht="24.75" x14ac:dyDescent="0.25">
      <c r="A18" s="8" t="s">
        <v>1831</v>
      </c>
      <c r="B18" s="2" t="s">
        <v>1832</v>
      </c>
      <c r="C18" s="4">
        <v>1</v>
      </c>
      <c r="D18" s="6">
        <v>27</v>
      </c>
      <c r="E18" s="6">
        <v>27</v>
      </c>
      <c r="F18" s="9">
        <v>78.989999999999995</v>
      </c>
      <c r="G18" s="6">
        <v>78.989999999999995</v>
      </c>
      <c r="H18" s="4" t="s">
        <v>1832</v>
      </c>
      <c r="I18" s="2" t="s">
        <v>2017</v>
      </c>
      <c r="J18" s="10"/>
      <c r="K18" s="6"/>
      <c r="L18" s="6"/>
      <c r="M18" s="2" t="s">
        <v>1970</v>
      </c>
      <c r="N18" s="2" t="s">
        <v>1986</v>
      </c>
      <c r="O18" s="2" t="s">
        <v>1833</v>
      </c>
      <c r="P18" s="2" t="s">
        <v>1988</v>
      </c>
      <c r="Q18" s="2" t="s">
        <v>1834</v>
      </c>
      <c r="R18" s="11" t="str">
        <f>HYPERLINK("http://slimages.macys.com/is/image/MCY/12677575 ")</f>
        <v xml:space="preserve">http://slimages.macys.com/is/image/MCY/12677575 </v>
      </c>
    </row>
    <row r="19" spans="1:18" ht="24.75" x14ac:dyDescent="0.25">
      <c r="A19" s="8" t="s">
        <v>1835</v>
      </c>
      <c r="B19" s="2" t="s">
        <v>1836</v>
      </c>
      <c r="C19" s="4">
        <v>1</v>
      </c>
      <c r="D19" s="6">
        <v>19.09</v>
      </c>
      <c r="E19" s="6">
        <v>19.09</v>
      </c>
      <c r="F19" s="9">
        <v>49.99</v>
      </c>
      <c r="G19" s="6">
        <v>49.99</v>
      </c>
      <c r="H19" s="4" t="s">
        <v>1837</v>
      </c>
      <c r="I19" s="2" t="s">
        <v>2057</v>
      </c>
      <c r="J19" s="10"/>
      <c r="K19" s="6"/>
      <c r="L19" s="6"/>
      <c r="M19" s="2" t="s">
        <v>1970</v>
      </c>
      <c r="N19" s="2" t="s">
        <v>2184</v>
      </c>
      <c r="O19" s="2" t="s">
        <v>2094</v>
      </c>
      <c r="P19" s="2" t="s">
        <v>1988</v>
      </c>
      <c r="Q19" s="2" t="s">
        <v>2542</v>
      </c>
      <c r="R19" s="11" t="str">
        <f>HYPERLINK("http://slimages.macys.com/is/image/MCY/748990 ")</f>
        <v xml:space="preserve">http://slimages.macys.com/is/image/MCY/748990 </v>
      </c>
    </row>
    <row r="20" spans="1:18" ht="24.75" x14ac:dyDescent="0.25">
      <c r="A20" s="8" t="s">
        <v>1838</v>
      </c>
      <c r="B20" s="2" t="s">
        <v>1839</v>
      </c>
      <c r="C20" s="4">
        <v>1</v>
      </c>
      <c r="D20" s="6">
        <v>18.71</v>
      </c>
      <c r="E20" s="6">
        <v>18.71</v>
      </c>
      <c r="F20" s="9">
        <v>46.99</v>
      </c>
      <c r="G20" s="6">
        <v>46.99</v>
      </c>
      <c r="H20" s="4" t="s">
        <v>1840</v>
      </c>
      <c r="I20" s="2" t="s">
        <v>2309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1995</v>
      </c>
      <c r="R20" s="11" t="str">
        <f>HYPERLINK("http://slimages.macys.com/is/image/MCY/9192778 ")</f>
        <v xml:space="preserve">http://slimages.macys.com/is/image/MCY/9192778 </v>
      </c>
    </row>
    <row r="21" spans="1:18" ht="24.75" x14ac:dyDescent="0.25">
      <c r="A21" s="8" t="s">
        <v>1841</v>
      </c>
      <c r="B21" s="2" t="s">
        <v>1842</v>
      </c>
      <c r="C21" s="4">
        <v>1</v>
      </c>
      <c r="D21" s="6">
        <v>18.190000000000001</v>
      </c>
      <c r="E21" s="6">
        <v>18.190000000000001</v>
      </c>
      <c r="F21" s="9">
        <v>44.99</v>
      </c>
      <c r="G21" s="6">
        <v>44.99</v>
      </c>
      <c r="H21" s="4" t="s">
        <v>1843</v>
      </c>
      <c r="I21" s="2" t="s">
        <v>2026</v>
      </c>
      <c r="J21" s="10" t="s">
        <v>1844</v>
      </c>
      <c r="K21" s="6"/>
      <c r="L21" s="6"/>
      <c r="M21" s="2" t="s">
        <v>1970</v>
      </c>
      <c r="N21" s="2" t="s">
        <v>2012</v>
      </c>
      <c r="O21" s="2" t="s">
        <v>1987</v>
      </c>
      <c r="P21" s="2" t="s">
        <v>1988</v>
      </c>
      <c r="Q21" s="2" t="s">
        <v>1995</v>
      </c>
      <c r="R21" s="11" t="str">
        <f>HYPERLINK("http://slimages.macys.com/is/image/MCY/8216563 ")</f>
        <v xml:space="preserve">http://slimages.macys.com/is/image/MCY/8216563 </v>
      </c>
    </row>
    <row r="22" spans="1:18" ht="24.75" x14ac:dyDescent="0.25">
      <c r="A22" s="8" t="s">
        <v>1845</v>
      </c>
      <c r="B22" s="2" t="s">
        <v>1846</v>
      </c>
      <c r="C22" s="4">
        <v>2</v>
      </c>
      <c r="D22" s="6">
        <v>16.95</v>
      </c>
      <c r="E22" s="6">
        <v>33.9</v>
      </c>
      <c r="F22" s="9">
        <v>39.99</v>
      </c>
      <c r="G22" s="6">
        <v>79.98</v>
      </c>
      <c r="H22" s="4">
        <v>1000702500</v>
      </c>
      <c r="I22" s="2" t="s">
        <v>1993</v>
      </c>
      <c r="J22" s="10" t="s">
        <v>1847</v>
      </c>
      <c r="K22" s="6"/>
      <c r="L22" s="6"/>
      <c r="M22" s="2" t="s">
        <v>1970</v>
      </c>
      <c r="N22" s="2" t="s">
        <v>2396</v>
      </c>
      <c r="O22" s="2" t="s">
        <v>1010</v>
      </c>
      <c r="P22" s="2" t="s">
        <v>1988</v>
      </c>
      <c r="Q22" s="2" t="s">
        <v>1848</v>
      </c>
      <c r="R22" s="11" t="str">
        <f>HYPERLINK("http://slimages.macys.com/is/image/MCY/9263478 ")</f>
        <v xml:space="preserve">http://slimages.macys.com/is/image/MCY/9263478 </v>
      </c>
    </row>
    <row r="23" spans="1:18" ht="24.75" x14ac:dyDescent="0.25">
      <c r="A23" s="8" t="s">
        <v>1849</v>
      </c>
      <c r="B23" s="2" t="s">
        <v>1850</v>
      </c>
      <c r="C23" s="4">
        <v>1</v>
      </c>
      <c r="D23" s="6">
        <v>16.079999999999998</v>
      </c>
      <c r="E23" s="6">
        <v>16.079999999999998</v>
      </c>
      <c r="F23" s="9">
        <v>49.99</v>
      </c>
      <c r="G23" s="6">
        <v>49.99</v>
      </c>
      <c r="H23" s="4" t="s">
        <v>1851</v>
      </c>
      <c r="I23" s="2" t="s">
        <v>2897</v>
      </c>
      <c r="J23" s="10"/>
      <c r="K23" s="6"/>
      <c r="L23" s="6"/>
      <c r="M23" s="2" t="s">
        <v>1970</v>
      </c>
      <c r="N23" s="2" t="s">
        <v>2032</v>
      </c>
      <c r="O23" s="2" t="s">
        <v>2898</v>
      </c>
      <c r="P23" s="2" t="s">
        <v>1988</v>
      </c>
      <c r="Q23" s="2" t="s">
        <v>1995</v>
      </c>
      <c r="R23" s="11" t="str">
        <f>HYPERLINK("http://slimages.macys.com/is/image/MCY/9965724 ")</f>
        <v xml:space="preserve">http://slimages.macys.com/is/image/MCY/9965724 </v>
      </c>
    </row>
    <row r="24" spans="1:18" ht="24.75" x14ac:dyDescent="0.25">
      <c r="A24" s="8" t="s">
        <v>1852</v>
      </c>
      <c r="B24" s="2" t="s">
        <v>1853</v>
      </c>
      <c r="C24" s="4">
        <v>2</v>
      </c>
      <c r="D24" s="6">
        <v>14.39</v>
      </c>
      <c r="E24" s="6">
        <v>28.78</v>
      </c>
      <c r="F24" s="9">
        <v>35.99</v>
      </c>
      <c r="G24" s="6">
        <v>71.98</v>
      </c>
      <c r="H24" s="4" t="s">
        <v>1854</v>
      </c>
      <c r="I24" s="2" t="s">
        <v>2825</v>
      </c>
      <c r="J24" s="10" t="s">
        <v>1844</v>
      </c>
      <c r="K24" s="6"/>
      <c r="L24" s="6"/>
      <c r="M24" s="2" t="s">
        <v>1970</v>
      </c>
      <c r="N24" s="2" t="s">
        <v>2012</v>
      </c>
      <c r="O24" s="2" t="s">
        <v>1987</v>
      </c>
      <c r="P24" s="2" t="s">
        <v>1988</v>
      </c>
      <c r="Q24" s="2" t="s">
        <v>2827</v>
      </c>
      <c r="R24" s="11" t="str">
        <f>HYPERLINK("http://slimages.macys.com/is/image/MCY/8216605 ")</f>
        <v xml:space="preserve">http://slimages.macys.com/is/image/MCY/8216605 </v>
      </c>
    </row>
    <row r="25" spans="1:18" ht="24.75" x14ac:dyDescent="0.25">
      <c r="A25" s="8" t="s">
        <v>1855</v>
      </c>
      <c r="B25" s="2" t="s">
        <v>1856</v>
      </c>
      <c r="C25" s="4">
        <v>7</v>
      </c>
      <c r="D25" s="6">
        <v>14.29</v>
      </c>
      <c r="E25" s="6">
        <v>100.03</v>
      </c>
      <c r="F25" s="9">
        <v>35.99</v>
      </c>
      <c r="G25" s="6">
        <v>251.93</v>
      </c>
      <c r="H25" s="4" t="s">
        <v>1857</v>
      </c>
      <c r="I25" s="2" t="s">
        <v>2261</v>
      </c>
      <c r="J25" s="10"/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/>
      <c r="R25" s="11" t="str">
        <f>HYPERLINK("http://slimages.macys.com/is/image/MCY/9359192 ")</f>
        <v xml:space="preserve">http://slimages.macys.com/is/image/MCY/9359192 </v>
      </c>
    </row>
    <row r="26" spans="1:18" ht="24.75" x14ac:dyDescent="0.25">
      <c r="A26" s="8" t="s">
        <v>1858</v>
      </c>
      <c r="B26" s="2" t="s">
        <v>1859</v>
      </c>
      <c r="C26" s="4">
        <v>1</v>
      </c>
      <c r="D26" s="6">
        <v>16.260000000000002</v>
      </c>
      <c r="E26" s="6">
        <v>16.260000000000002</v>
      </c>
      <c r="F26" s="9">
        <v>44.99</v>
      </c>
      <c r="G26" s="6">
        <v>44.99</v>
      </c>
      <c r="H26" s="4" t="s">
        <v>1860</v>
      </c>
      <c r="I26" s="2" t="s">
        <v>2048</v>
      </c>
      <c r="J26" s="10"/>
      <c r="K26" s="6"/>
      <c r="L26" s="6"/>
      <c r="M26" s="2" t="s">
        <v>1970</v>
      </c>
      <c r="N26" s="2" t="s">
        <v>1986</v>
      </c>
      <c r="O26" s="2" t="s">
        <v>1994</v>
      </c>
      <c r="P26" s="2" t="s">
        <v>1988</v>
      </c>
      <c r="Q26" s="2" t="s">
        <v>2585</v>
      </c>
      <c r="R26" s="11" t="str">
        <f>HYPERLINK("http://slimages.macys.com/is/image/MCY/10005660 ")</f>
        <v xml:space="preserve">http://slimages.macys.com/is/image/MCY/10005660 </v>
      </c>
    </row>
    <row r="27" spans="1:18" ht="24.75" x14ac:dyDescent="0.25">
      <c r="A27" s="8" t="s">
        <v>1861</v>
      </c>
      <c r="B27" s="2" t="s">
        <v>1862</v>
      </c>
      <c r="C27" s="4">
        <v>2</v>
      </c>
      <c r="D27" s="6">
        <v>12.5</v>
      </c>
      <c r="E27" s="6">
        <v>25</v>
      </c>
      <c r="F27" s="9">
        <v>29.99</v>
      </c>
      <c r="G27" s="6">
        <v>59.98</v>
      </c>
      <c r="H27" s="4" t="s">
        <v>1863</v>
      </c>
      <c r="I27" s="2" t="s">
        <v>2071</v>
      </c>
      <c r="J27" s="10"/>
      <c r="K27" s="6"/>
      <c r="L27" s="6"/>
      <c r="M27" s="2" t="s">
        <v>1970</v>
      </c>
      <c r="N27" s="2" t="s">
        <v>2012</v>
      </c>
      <c r="O27" s="2" t="s">
        <v>1987</v>
      </c>
      <c r="P27" s="2" t="s">
        <v>1988</v>
      </c>
      <c r="Q27" s="2"/>
      <c r="R27" s="11" t="str">
        <f>HYPERLINK("http://slimages.macys.com/is/image/MCY/9602382 ")</f>
        <v xml:space="preserve">http://slimages.macys.com/is/image/MCY/9602382 </v>
      </c>
    </row>
    <row r="28" spans="1:18" ht="24.75" x14ac:dyDescent="0.25">
      <c r="A28" s="8" t="s">
        <v>1670</v>
      </c>
      <c r="B28" s="2" t="s">
        <v>1671</v>
      </c>
      <c r="C28" s="4">
        <v>9</v>
      </c>
      <c r="D28" s="6">
        <v>11.5</v>
      </c>
      <c r="E28" s="6">
        <v>103.5</v>
      </c>
      <c r="F28" s="9">
        <v>24.99</v>
      </c>
      <c r="G28" s="6">
        <v>224.91</v>
      </c>
      <c r="H28" s="4" t="s">
        <v>1672</v>
      </c>
      <c r="I28" s="2" t="s">
        <v>2057</v>
      </c>
      <c r="J28" s="10"/>
      <c r="K28" s="6"/>
      <c r="L28" s="6"/>
      <c r="M28" s="2" t="s">
        <v>1970</v>
      </c>
      <c r="N28" s="2" t="s">
        <v>2012</v>
      </c>
      <c r="O28" s="2" t="s">
        <v>2426</v>
      </c>
      <c r="P28" s="2" t="s">
        <v>1988</v>
      </c>
      <c r="Q28" s="2"/>
      <c r="R28" s="11" t="str">
        <f>HYPERLINK("http://slimages.macys.com/is/image/MCY/11926635 ")</f>
        <v xml:space="preserve">http://slimages.macys.com/is/image/MCY/11926635 </v>
      </c>
    </row>
    <row r="29" spans="1:18" ht="24.75" x14ac:dyDescent="0.25">
      <c r="A29" s="8" t="s">
        <v>1864</v>
      </c>
      <c r="B29" s="2" t="s">
        <v>1865</v>
      </c>
      <c r="C29" s="4">
        <v>3</v>
      </c>
      <c r="D29" s="6">
        <v>11.16</v>
      </c>
      <c r="E29" s="6">
        <v>33.479999999999997</v>
      </c>
      <c r="F29" s="9">
        <v>27.99</v>
      </c>
      <c r="G29" s="6">
        <v>83.97</v>
      </c>
      <c r="H29" s="4" t="s">
        <v>1866</v>
      </c>
      <c r="I29" s="2" t="s">
        <v>2309</v>
      </c>
      <c r="J29" s="10"/>
      <c r="K29" s="6"/>
      <c r="L29" s="6"/>
      <c r="M29" s="2" t="s">
        <v>1970</v>
      </c>
      <c r="N29" s="2" t="s">
        <v>2012</v>
      </c>
      <c r="O29" s="2" t="s">
        <v>1987</v>
      </c>
      <c r="P29" s="2" t="s">
        <v>1988</v>
      </c>
      <c r="Q29" s="2" t="s">
        <v>1995</v>
      </c>
      <c r="R29" s="11" t="str">
        <f>HYPERLINK("http://slimages.macys.com/is/image/MCY/9534655 ")</f>
        <v xml:space="preserve">http://slimages.macys.com/is/image/MCY/9534655 </v>
      </c>
    </row>
    <row r="30" spans="1:18" ht="84.75" x14ac:dyDescent="0.25">
      <c r="A30" s="8" t="s">
        <v>2722</v>
      </c>
      <c r="B30" s="2" t="s">
        <v>1867</v>
      </c>
      <c r="C30" s="4">
        <v>1</v>
      </c>
      <c r="D30" s="6">
        <v>11.16</v>
      </c>
      <c r="E30" s="6">
        <v>11.16</v>
      </c>
      <c r="F30" s="9">
        <v>24.99</v>
      </c>
      <c r="G30" s="6">
        <v>24.99</v>
      </c>
      <c r="H30" s="4" t="s">
        <v>2724</v>
      </c>
      <c r="I30" s="2" t="s">
        <v>2071</v>
      </c>
      <c r="J30" s="10" t="s">
        <v>2314</v>
      </c>
      <c r="K30" s="6"/>
      <c r="L30" s="6"/>
      <c r="M30" s="2" t="s">
        <v>1970</v>
      </c>
      <c r="N30" s="2" t="s">
        <v>2012</v>
      </c>
      <c r="O30" s="2" t="s">
        <v>1987</v>
      </c>
      <c r="P30" s="2" t="s">
        <v>1988</v>
      </c>
      <c r="Q30" s="2" t="s">
        <v>2721</v>
      </c>
      <c r="R30" s="11" t="str">
        <f>HYPERLINK("http://slimages.macys.com/is/image/MCY/15494803 ")</f>
        <v xml:space="preserve">http://slimages.macys.com/is/image/MCY/15494803 </v>
      </c>
    </row>
    <row r="31" spans="1:18" ht="24.75" x14ac:dyDescent="0.25">
      <c r="A31" s="8" t="s">
        <v>1868</v>
      </c>
      <c r="B31" s="2" t="s">
        <v>1869</v>
      </c>
      <c r="C31" s="4">
        <v>1</v>
      </c>
      <c r="D31" s="6">
        <v>10.7</v>
      </c>
      <c r="E31" s="6">
        <v>10.7</v>
      </c>
      <c r="F31" s="9">
        <v>38.99</v>
      </c>
      <c r="G31" s="6">
        <v>38.99</v>
      </c>
      <c r="H31" s="4" t="s">
        <v>1870</v>
      </c>
      <c r="I31" s="2" t="s">
        <v>2283</v>
      </c>
      <c r="J31" s="10"/>
      <c r="K31" s="6"/>
      <c r="L31" s="6"/>
      <c r="M31" s="2" t="s">
        <v>1970</v>
      </c>
      <c r="N31" s="2" t="s">
        <v>2012</v>
      </c>
      <c r="O31" s="2" t="s">
        <v>2062</v>
      </c>
      <c r="P31" s="2" t="s">
        <v>1988</v>
      </c>
      <c r="Q31" s="2" t="s">
        <v>2063</v>
      </c>
      <c r="R31" s="11" t="str">
        <f>HYPERLINK("http://slimages.macys.com/is/image/MCY/12241858 ")</f>
        <v xml:space="preserve">http://slimages.macys.com/is/image/MCY/12241858 </v>
      </c>
    </row>
    <row r="32" spans="1:18" ht="24.75" x14ac:dyDescent="0.25">
      <c r="A32" s="8" t="s">
        <v>1871</v>
      </c>
      <c r="B32" s="2" t="s">
        <v>1872</v>
      </c>
      <c r="C32" s="4">
        <v>1</v>
      </c>
      <c r="D32" s="6">
        <v>9.98</v>
      </c>
      <c r="E32" s="6">
        <v>9.98</v>
      </c>
      <c r="F32" s="9">
        <v>24.99</v>
      </c>
      <c r="G32" s="6">
        <v>24.99</v>
      </c>
      <c r="H32" s="4" t="s">
        <v>1873</v>
      </c>
      <c r="I32" s="2" t="s">
        <v>1993</v>
      </c>
      <c r="J32" s="10" t="s">
        <v>1874</v>
      </c>
      <c r="K32" s="6"/>
      <c r="L32" s="6"/>
      <c r="M32" s="2" t="s">
        <v>1970</v>
      </c>
      <c r="N32" s="2" t="s">
        <v>2012</v>
      </c>
      <c r="O32" s="2" t="s">
        <v>1987</v>
      </c>
      <c r="P32" s="2" t="s">
        <v>1988</v>
      </c>
      <c r="Q32" s="2" t="s">
        <v>2209</v>
      </c>
      <c r="R32" s="11" t="str">
        <f>HYPERLINK("http://slimages.macys.com/is/image/MCY/8215960 ")</f>
        <v xml:space="preserve">http://slimages.macys.com/is/image/MCY/8215960 </v>
      </c>
    </row>
    <row r="33" spans="1:18" ht="24.75" x14ac:dyDescent="0.25">
      <c r="A33" s="8" t="s">
        <v>1875</v>
      </c>
      <c r="B33" s="2" t="s">
        <v>1876</v>
      </c>
      <c r="C33" s="4">
        <v>1</v>
      </c>
      <c r="D33" s="6">
        <v>9.6999999999999993</v>
      </c>
      <c r="E33" s="6">
        <v>9.6999999999999993</v>
      </c>
      <c r="F33" s="9">
        <v>16.989999999999998</v>
      </c>
      <c r="G33" s="6">
        <v>16.989999999999998</v>
      </c>
      <c r="H33" s="4" t="s">
        <v>1877</v>
      </c>
      <c r="I33" s="2" t="s">
        <v>1315</v>
      </c>
      <c r="J33" s="10"/>
      <c r="K33" s="6"/>
      <c r="L33" s="6"/>
      <c r="M33" s="2" t="s">
        <v>1970</v>
      </c>
      <c r="N33" s="2" t="s">
        <v>2012</v>
      </c>
      <c r="O33" s="2" t="s">
        <v>2448</v>
      </c>
      <c r="P33" s="2" t="s">
        <v>1988</v>
      </c>
      <c r="Q33" s="2" t="s">
        <v>1878</v>
      </c>
      <c r="R33" s="11" t="str">
        <f>HYPERLINK("http://slimages.macys.com/is/image/MCY/11190433 ")</f>
        <v xml:space="preserve">http://slimages.macys.com/is/image/MCY/11190433 </v>
      </c>
    </row>
    <row r="34" spans="1:18" ht="24.75" x14ac:dyDescent="0.25">
      <c r="A34" s="8" t="s">
        <v>1879</v>
      </c>
      <c r="B34" s="2" t="s">
        <v>1876</v>
      </c>
      <c r="C34" s="4">
        <v>2</v>
      </c>
      <c r="D34" s="6">
        <v>9.6999999999999993</v>
      </c>
      <c r="E34" s="6">
        <v>19.399999999999999</v>
      </c>
      <c r="F34" s="9">
        <v>16.989999999999998</v>
      </c>
      <c r="G34" s="6">
        <v>33.979999999999997</v>
      </c>
      <c r="H34" s="4" t="s">
        <v>1880</v>
      </c>
      <c r="I34" s="2" t="s">
        <v>2071</v>
      </c>
      <c r="J34" s="10"/>
      <c r="K34" s="6"/>
      <c r="L34" s="6"/>
      <c r="M34" s="2" t="s">
        <v>1970</v>
      </c>
      <c r="N34" s="2" t="s">
        <v>2012</v>
      </c>
      <c r="O34" s="2" t="s">
        <v>2448</v>
      </c>
      <c r="P34" s="2" t="s">
        <v>1988</v>
      </c>
      <c r="Q34" s="2" t="s">
        <v>1878</v>
      </c>
      <c r="R34" s="11" t="str">
        <f>HYPERLINK("http://slimages.macys.com/is/image/MCY/11190433 ")</f>
        <v xml:space="preserve">http://slimages.macys.com/is/image/MCY/11190433 </v>
      </c>
    </row>
    <row r="35" spans="1:18" ht="24.75" x14ac:dyDescent="0.25">
      <c r="A35" s="8" t="s">
        <v>1881</v>
      </c>
      <c r="B35" s="2" t="s">
        <v>1876</v>
      </c>
      <c r="C35" s="4">
        <v>1</v>
      </c>
      <c r="D35" s="6">
        <v>9.6999999999999993</v>
      </c>
      <c r="E35" s="6">
        <v>9.6999999999999993</v>
      </c>
      <c r="F35" s="9">
        <v>16.989999999999998</v>
      </c>
      <c r="G35" s="6">
        <v>16.989999999999998</v>
      </c>
      <c r="H35" s="4" t="s">
        <v>1882</v>
      </c>
      <c r="I35" s="2" t="s">
        <v>1993</v>
      </c>
      <c r="J35" s="10"/>
      <c r="K35" s="6"/>
      <c r="L35" s="6"/>
      <c r="M35" s="2" t="s">
        <v>1970</v>
      </c>
      <c r="N35" s="2" t="s">
        <v>2012</v>
      </c>
      <c r="O35" s="2" t="s">
        <v>2448</v>
      </c>
      <c r="P35" s="2" t="s">
        <v>1988</v>
      </c>
      <c r="Q35" s="2" t="s">
        <v>1878</v>
      </c>
      <c r="R35" s="11" t="str">
        <f>HYPERLINK("http://slimages.macys.com/is/image/MCY/11190433 ")</f>
        <v xml:space="preserve">http://slimages.macys.com/is/image/MCY/11190433 </v>
      </c>
    </row>
    <row r="36" spans="1:18" ht="24.75" x14ac:dyDescent="0.25">
      <c r="A36" s="8" t="s">
        <v>1883</v>
      </c>
      <c r="B36" s="2" t="s">
        <v>1884</v>
      </c>
      <c r="C36" s="4">
        <v>1</v>
      </c>
      <c r="D36" s="6">
        <v>9.4</v>
      </c>
      <c r="E36" s="6">
        <v>9.4</v>
      </c>
      <c r="F36" s="9">
        <v>24.99</v>
      </c>
      <c r="G36" s="6">
        <v>24.99</v>
      </c>
      <c r="H36" s="4" t="s">
        <v>1885</v>
      </c>
      <c r="I36" s="2" t="s">
        <v>2893</v>
      </c>
      <c r="J36" s="10"/>
      <c r="K36" s="6"/>
      <c r="L36" s="6"/>
      <c r="M36" s="2" t="s">
        <v>1970</v>
      </c>
      <c r="N36" s="2" t="s">
        <v>2032</v>
      </c>
      <c r="O36" s="2" t="s">
        <v>2898</v>
      </c>
      <c r="P36" s="2" t="s">
        <v>1988</v>
      </c>
      <c r="Q36" s="2" t="s">
        <v>1995</v>
      </c>
      <c r="R36" s="11" t="str">
        <f>HYPERLINK("http://slimages.macys.com/is/image/MCY/2861128 ")</f>
        <v xml:space="preserve">http://slimages.macys.com/is/image/MCY/2861128 </v>
      </c>
    </row>
    <row r="37" spans="1:18" ht="24.75" x14ac:dyDescent="0.25">
      <c r="A37" s="8" t="s">
        <v>1886</v>
      </c>
      <c r="B37" s="2" t="s">
        <v>1887</v>
      </c>
      <c r="C37" s="4">
        <v>1</v>
      </c>
      <c r="D37" s="6">
        <v>8.4</v>
      </c>
      <c r="E37" s="6">
        <v>8.4</v>
      </c>
      <c r="F37" s="9">
        <v>19.989999999999998</v>
      </c>
      <c r="G37" s="6">
        <v>19.989999999999998</v>
      </c>
      <c r="H37" s="4" t="s">
        <v>1888</v>
      </c>
      <c r="I37" s="2" t="s">
        <v>2026</v>
      </c>
      <c r="J37" s="10" t="s">
        <v>2107</v>
      </c>
      <c r="K37" s="6"/>
      <c r="L37" s="6"/>
      <c r="M37" s="2" t="s">
        <v>1970</v>
      </c>
      <c r="N37" s="2" t="s">
        <v>2012</v>
      </c>
      <c r="O37" s="2" t="s">
        <v>2062</v>
      </c>
      <c r="P37" s="2" t="s">
        <v>1988</v>
      </c>
      <c r="Q37" s="2" t="s">
        <v>2310</v>
      </c>
      <c r="R37" s="11" t="str">
        <f>HYPERLINK("http://slimages.macys.com/is/image/MCY/9456563 ")</f>
        <v xml:space="preserve">http://slimages.macys.com/is/image/MCY/9456563 </v>
      </c>
    </row>
    <row r="38" spans="1:18" ht="24.75" x14ac:dyDescent="0.25">
      <c r="A38" s="8" t="s">
        <v>1889</v>
      </c>
      <c r="B38" s="2" t="s">
        <v>1890</v>
      </c>
      <c r="C38" s="4">
        <v>1</v>
      </c>
      <c r="D38" s="6">
        <v>8.99</v>
      </c>
      <c r="E38" s="6">
        <v>8.99</v>
      </c>
      <c r="F38" s="9">
        <v>19.989999999999998</v>
      </c>
      <c r="G38" s="6">
        <v>19.989999999999998</v>
      </c>
      <c r="H38" s="4" t="s">
        <v>1891</v>
      </c>
      <c r="I38" s="2" t="s">
        <v>2937</v>
      </c>
      <c r="J38" s="10"/>
      <c r="K38" s="6"/>
      <c r="L38" s="6"/>
      <c r="M38" s="2" t="s">
        <v>1970</v>
      </c>
      <c r="N38" s="2" t="s">
        <v>1522</v>
      </c>
      <c r="O38" s="2" t="s">
        <v>1892</v>
      </c>
      <c r="P38" s="2" t="s">
        <v>2933</v>
      </c>
      <c r="Q38" s="2" t="s">
        <v>1995</v>
      </c>
      <c r="R38" s="11" t="str">
        <f>HYPERLINK("http://slimages.macys.com/is/image/MCY/9844268 ")</f>
        <v xml:space="preserve">http://slimages.macys.com/is/image/MCY/9844268 </v>
      </c>
    </row>
    <row r="39" spans="1:18" ht="24.75" x14ac:dyDescent="0.25">
      <c r="A39" s="8" t="s">
        <v>1893</v>
      </c>
      <c r="B39" s="2" t="s">
        <v>1894</v>
      </c>
      <c r="C39" s="4">
        <v>1</v>
      </c>
      <c r="D39" s="6">
        <v>6.45</v>
      </c>
      <c r="E39" s="6">
        <v>6.45</v>
      </c>
      <c r="F39" s="9">
        <v>29.99</v>
      </c>
      <c r="G39" s="6">
        <v>29.99</v>
      </c>
      <c r="H39" s="4" t="s">
        <v>1895</v>
      </c>
      <c r="I39" s="2" t="s">
        <v>2026</v>
      </c>
      <c r="J39" s="10" t="s">
        <v>2497</v>
      </c>
      <c r="K39" s="6"/>
      <c r="L39" s="6"/>
      <c r="M39" s="2" t="s">
        <v>1970</v>
      </c>
      <c r="N39" s="2" t="s">
        <v>2005</v>
      </c>
      <c r="O39" s="2" t="s">
        <v>1575</v>
      </c>
      <c r="P39" s="2" t="s">
        <v>1988</v>
      </c>
      <c r="Q39" s="2"/>
      <c r="R39" s="11" t="str">
        <f>HYPERLINK("http://slimages.macys.com/is/image/MCY/13285715 ")</f>
        <v xml:space="preserve">http://slimages.macys.com/is/image/MCY/13285715 </v>
      </c>
    </row>
    <row r="40" spans="1:18" ht="24.75" x14ac:dyDescent="0.25">
      <c r="A40" s="8" t="s">
        <v>1896</v>
      </c>
      <c r="B40" s="2" t="s">
        <v>1897</v>
      </c>
      <c r="C40" s="4">
        <v>1</v>
      </c>
      <c r="D40" s="6">
        <v>6</v>
      </c>
      <c r="E40" s="6">
        <v>6</v>
      </c>
      <c r="F40" s="9">
        <v>14.99</v>
      </c>
      <c r="G40" s="6">
        <v>14.99</v>
      </c>
      <c r="H40" s="4" t="s">
        <v>1898</v>
      </c>
      <c r="I40" s="2"/>
      <c r="J40" s="10"/>
      <c r="K40" s="6"/>
      <c r="L40" s="6"/>
      <c r="M40" s="2" t="s">
        <v>1970</v>
      </c>
      <c r="N40" s="2" t="s">
        <v>2184</v>
      </c>
      <c r="O40" s="2" t="s">
        <v>1899</v>
      </c>
      <c r="P40" s="2" t="s">
        <v>1988</v>
      </c>
      <c r="Q40" s="2"/>
      <c r="R40" s="11" t="str">
        <f>HYPERLINK("http://slimages.macys.com/is/image/MCY/8381749 ")</f>
        <v xml:space="preserve">http://slimages.macys.com/is/image/MCY/8381749 </v>
      </c>
    </row>
    <row r="41" spans="1:18" ht="24.75" x14ac:dyDescent="0.25">
      <c r="A41" s="8" t="s">
        <v>1900</v>
      </c>
      <c r="B41" s="2" t="s">
        <v>1901</v>
      </c>
      <c r="C41" s="4">
        <v>1</v>
      </c>
      <c r="D41" s="6">
        <v>4.3</v>
      </c>
      <c r="E41" s="6">
        <v>4.3</v>
      </c>
      <c r="F41" s="9">
        <v>9.99</v>
      </c>
      <c r="G41" s="6">
        <v>9.99</v>
      </c>
      <c r="H41" s="4">
        <v>24889</v>
      </c>
      <c r="I41" s="2" t="s">
        <v>2162</v>
      </c>
      <c r="J41" s="10"/>
      <c r="K41" s="6"/>
      <c r="L41" s="6"/>
      <c r="M41" s="2" t="s">
        <v>1970</v>
      </c>
      <c r="N41" s="2" t="s">
        <v>2012</v>
      </c>
      <c r="O41" s="2" t="s">
        <v>2203</v>
      </c>
      <c r="P41" s="2" t="s">
        <v>1988</v>
      </c>
      <c r="Q41" s="2" t="s">
        <v>1995</v>
      </c>
      <c r="R41" s="11" t="str">
        <f>HYPERLINK("http://slimages.macys.com/is/image/MCY/10004251 ")</f>
        <v xml:space="preserve">http://slimages.macys.com/is/image/MCY/10004251 </v>
      </c>
    </row>
    <row r="42" spans="1:18" ht="24.75" x14ac:dyDescent="0.25">
      <c r="A42" s="8" t="s">
        <v>1902</v>
      </c>
      <c r="B42" s="2" t="s">
        <v>1903</v>
      </c>
      <c r="C42" s="4">
        <v>3</v>
      </c>
      <c r="D42" s="6">
        <v>2.2599999999999998</v>
      </c>
      <c r="E42" s="6">
        <v>6.78</v>
      </c>
      <c r="F42" s="9">
        <v>14.99</v>
      </c>
      <c r="G42" s="6">
        <v>44.97</v>
      </c>
      <c r="H42" s="4">
        <v>1007060600</v>
      </c>
      <c r="I42" s="2" t="s">
        <v>2120</v>
      </c>
      <c r="J42" s="10"/>
      <c r="K42" s="6"/>
      <c r="L42" s="6"/>
      <c r="M42" s="2" t="s">
        <v>1970</v>
      </c>
      <c r="N42" s="2" t="s">
        <v>2851</v>
      </c>
      <c r="O42" s="2" t="s">
        <v>874</v>
      </c>
      <c r="P42" s="2" t="s">
        <v>1988</v>
      </c>
      <c r="Q42" s="2" t="s">
        <v>1904</v>
      </c>
      <c r="R42" s="11" t="str">
        <f>HYPERLINK("http://slimages.macys.com/is/image/MCY/10338565 ")</f>
        <v xml:space="preserve">http://slimages.macys.com/is/image/MCY/10338565 </v>
      </c>
    </row>
    <row r="43" spans="1:18" ht="24.75" x14ac:dyDescent="0.25">
      <c r="A43" s="8" t="s">
        <v>1905</v>
      </c>
      <c r="B43" s="2" t="s">
        <v>1906</v>
      </c>
      <c r="C43" s="4">
        <v>1</v>
      </c>
      <c r="D43" s="6">
        <v>5.52</v>
      </c>
      <c r="E43" s="6">
        <v>5.52</v>
      </c>
      <c r="F43" s="9">
        <v>9.99</v>
      </c>
      <c r="G43" s="6">
        <v>9.99</v>
      </c>
      <c r="H43" s="4" t="s">
        <v>1907</v>
      </c>
      <c r="I43" s="2" t="s">
        <v>2071</v>
      </c>
      <c r="J43" s="10" t="s">
        <v>1908</v>
      </c>
      <c r="K43" s="6"/>
      <c r="L43" s="6"/>
      <c r="M43" s="2" t="s">
        <v>1970</v>
      </c>
      <c r="N43" s="2" t="s">
        <v>2012</v>
      </c>
      <c r="O43" s="2" t="s">
        <v>1909</v>
      </c>
      <c r="P43" s="2"/>
      <c r="Q43" s="2"/>
      <c r="R43" s="11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25"/>
  <sheetViews>
    <sheetView workbookViewId="0">
      <selection activeCell="E25" sqref="E25"/>
    </sheetView>
  </sheetViews>
  <sheetFormatPr defaultRowHeight="15" x14ac:dyDescent="0.25"/>
  <cols>
    <col min="1" max="1" width="14.28515625" customWidth="1"/>
    <col min="2" max="2" width="45.140625" customWidth="1"/>
    <col min="3" max="3" width="15" customWidth="1"/>
    <col min="4" max="4" width="10.28515625" customWidth="1"/>
    <col min="5" max="6" width="15" customWidth="1"/>
    <col min="7" max="7" width="10.28515625" customWidth="1"/>
    <col min="8" max="8" width="17.140625" customWidth="1"/>
    <col min="9" max="9" width="11.42578125" customWidth="1"/>
    <col min="10" max="10" width="9.7109375" customWidth="1"/>
    <col min="11" max="11" width="10.85546875" customWidth="1"/>
    <col min="12" max="12" width="11.14062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168.75" x14ac:dyDescent="0.25">
      <c r="A2" s="8" t="s">
        <v>1982</v>
      </c>
      <c r="B2" s="2" t="s">
        <v>1983</v>
      </c>
      <c r="C2" s="4">
        <v>1</v>
      </c>
      <c r="D2" s="6">
        <v>92.99</v>
      </c>
      <c r="E2" s="6">
        <v>92.99</v>
      </c>
      <c r="F2" s="9">
        <v>244.99</v>
      </c>
      <c r="G2" s="6">
        <v>244.99</v>
      </c>
      <c r="H2" s="4" t="s">
        <v>1984</v>
      </c>
      <c r="I2" s="2" t="s">
        <v>1985</v>
      </c>
      <c r="J2" s="10"/>
      <c r="K2" s="6"/>
      <c r="L2" s="6"/>
      <c r="M2" s="2" t="s">
        <v>1970</v>
      </c>
      <c r="N2" s="2" t="s">
        <v>1986</v>
      </c>
      <c r="O2" s="2" t="s">
        <v>1987</v>
      </c>
      <c r="P2" s="2" t="s">
        <v>1988</v>
      </c>
      <c r="Q2" s="2" t="s">
        <v>1989</v>
      </c>
      <c r="R2" s="11" t="str">
        <f>HYPERLINK("http://slimages.macys.com/is/image/MCY/9536375 ")</f>
        <v xml:space="preserve">http://slimages.macys.com/is/image/MCY/9536375 </v>
      </c>
    </row>
    <row r="3" spans="1:18" ht="24.75" x14ac:dyDescent="0.25">
      <c r="A3" s="8" t="s">
        <v>1990</v>
      </c>
      <c r="B3" s="2" t="s">
        <v>1991</v>
      </c>
      <c r="C3" s="4">
        <v>1</v>
      </c>
      <c r="D3" s="6">
        <v>52.85</v>
      </c>
      <c r="E3" s="6">
        <v>52.85</v>
      </c>
      <c r="F3" s="9">
        <v>144.99</v>
      </c>
      <c r="G3" s="6">
        <v>144.99</v>
      </c>
      <c r="H3" s="4" t="s">
        <v>1992</v>
      </c>
      <c r="I3" s="2" t="s">
        <v>1993</v>
      </c>
      <c r="J3" s="10"/>
      <c r="K3" s="6"/>
      <c r="L3" s="6"/>
      <c r="M3" s="2" t="s">
        <v>1970</v>
      </c>
      <c r="N3" s="2" t="s">
        <v>1986</v>
      </c>
      <c r="O3" s="2" t="s">
        <v>1994</v>
      </c>
      <c r="P3" s="2" t="s">
        <v>1988</v>
      </c>
      <c r="Q3" s="2" t="s">
        <v>1995</v>
      </c>
      <c r="R3" s="11" t="str">
        <f>HYPERLINK("http://slimages.macys.com/is/image/MCY/16409192 ")</f>
        <v xml:space="preserve">http://slimages.macys.com/is/image/MCY/16409192 </v>
      </c>
    </row>
    <row r="4" spans="1:18" ht="60.75" x14ac:dyDescent="0.25">
      <c r="A4" s="8" t="s">
        <v>1996</v>
      </c>
      <c r="B4" s="2" t="s">
        <v>1997</v>
      </c>
      <c r="C4" s="4">
        <v>1</v>
      </c>
      <c r="D4" s="6">
        <v>48.18</v>
      </c>
      <c r="E4" s="6">
        <v>48.18</v>
      </c>
      <c r="F4" s="9">
        <v>172.99</v>
      </c>
      <c r="G4" s="6">
        <v>172.99</v>
      </c>
      <c r="H4" s="4">
        <v>66621</v>
      </c>
      <c r="I4" s="2" t="s">
        <v>1998</v>
      </c>
      <c r="J4" s="10"/>
      <c r="K4" s="6"/>
      <c r="L4" s="6"/>
      <c r="M4" s="2" t="s">
        <v>1970</v>
      </c>
      <c r="N4" s="2" t="s">
        <v>1986</v>
      </c>
      <c r="O4" s="2" t="s">
        <v>1999</v>
      </c>
      <c r="P4" s="2" t="s">
        <v>1988</v>
      </c>
      <c r="Q4" s="2" t="s">
        <v>2000</v>
      </c>
      <c r="R4" s="11" t="str">
        <f>HYPERLINK("http://slimages.macys.com/is/image/MCY/11942464 ")</f>
        <v xml:space="preserve">http://slimages.macys.com/is/image/MCY/11942464 </v>
      </c>
    </row>
    <row r="5" spans="1:18" ht="24.75" x14ac:dyDescent="0.25">
      <c r="A5" s="8" t="s">
        <v>2001</v>
      </c>
      <c r="B5" s="2" t="s">
        <v>2002</v>
      </c>
      <c r="C5" s="4">
        <v>1</v>
      </c>
      <c r="D5" s="6">
        <v>37.19</v>
      </c>
      <c r="E5" s="6">
        <v>37.19</v>
      </c>
      <c r="F5" s="9">
        <v>103.99</v>
      </c>
      <c r="G5" s="6">
        <v>103.99</v>
      </c>
      <c r="H5" s="4" t="s">
        <v>2003</v>
      </c>
      <c r="I5" s="2" t="s">
        <v>2004</v>
      </c>
      <c r="J5" s="10"/>
      <c r="K5" s="6"/>
      <c r="L5" s="6"/>
      <c r="M5" s="2" t="s">
        <v>1970</v>
      </c>
      <c r="N5" s="2" t="s">
        <v>2005</v>
      </c>
      <c r="O5" s="2" t="s">
        <v>2006</v>
      </c>
      <c r="P5" s="2" t="s">
        <v>1988</v>
      </c>
      <c r="Q5" s="2" t="s">
        <v>2007</v>
      </c>
      <c r="R5" s="11" t="str">
        <f>HYPERLINK("http://slimages.macys.com/is/image/MCY/13790717 ")</f>
        <v xml:space="preserve">http://slimages.macys.com/is/image/MCY/13790717 </v>
      </c>
    </row>
    <row r="6" spans="1:18" ht="24.75" x14ac:dyDescent="0.25">
      <c r="A6" s="8" t="s">
        <v>2008</v>
      </c>
      <c r="B6" s="2" t="s">
        <v>2009</v>
      </c>
      <c r="C6" s="4">
        <v>1</v>
      </c>
      <c r="D6" s="6">
        <v>32.200000000000003</v>
      </c>
      <c r="E6" s="6">
        <v>32.200000000000003</v>
      </c>
      <c r="F6" s="9">
        <v>94.99</v>
      </c>
      <c r="G6" s="6">
        <v>94.99</v>
      </c>
      <c r="H6" s="4" t="s">
        <v>2010</v>
      </c>
      <c r="I6" s="2" t="s">
        <v>2011</v>
      </c>
      <c r="J6" s="10"/>
      <c r="K6" s="6"/>
      <c r="L6" s="6"/>
      <c r="M6" s="2" t="s">
        <v>1970</v>
      </c>
      <c r="N6" s="2" t="s">
        <v>2012</v>
      </c>
      <c r="O6" s="2" t="s">
        <v>2013</v>
      </c>
      <c r="P6" s="2" t="s">
        <v>1988</v>
      </c>
      <c r="Q6" s="2" t="s">
        <v>1995</v>
      </c>
      <c r="R6" s="11" t="str">
        <f>HYPERLINK("http://slimages.macys.com/is/image/MCY/10341288 ")</f>
        <v xml:space="preserve">http://slimages.macys.com/is/image/MCY/10341288 </v>
      </c>
    </row>
    <row r="7" spans="1:18" ht="24.75" x14ac:dyDescent="0.25">
      <c r="A7" s="8" t="s">
        <v>2014</v>
      </c>
      <c r="B7" s="2" t="s">
        <v>2015</v>
      </c>
      <c r="C7" s="4">
        <v>1</v>
      </c>
      <c r="D7" s="6">
        <v>32.200000000000003</v>
      </c>
      <c r="E7" s="6">
        <v>32.200000000000003</v>
      </c>
      <c r="F7" s="9">
        <v>94.99</v>
      </c>
      <c r="G7" s="6">
        <v>94.99</v>
      </c>
      <c r="H7" s="4" t="s">
        <v>2016</v>
      </c>
      <c r="I7" s="2" t="s">
        <v>2017</v>
      </c>
      <c r="J7" s="10"/>
      <c r="K7" s="6"/>
      <c r="L7" s="6"/>
      <c r="M7" s="2" t="s">
        <v>1970</v>
      </c>
      <c r="N7" s="2" t="s">
        <v>2012</v>
      </c>
      <c r="O7" s="2" t="s">
        <v>2013</v>
      </c>
      <c r="P7" s="2" t="s">
        <v>1988</v>
      </c>
      <c r="Q7" s="2" t="s">
        <v>1995</v>
      </c>
      <c r="R7" s="11" t="str">
        <f>HYPERLINK("http://slimages.macys.com/is/image/MCY/10341288 ")</f>
        <v xml:space="preserve">http://slimages.macys.com/is/image/MCY/10341288 </v>
      </c>
    </row>
    <row r="8" spans="1:18" ht="36.75" x14ac:dyDescent="0.25">
      <c r="A8" s="8" t="s">
        <v>2018</v>
      </c>
      <c r="B8" s="2" t="s">
        <v>2019</v>
      </c>
      <c r="C8" s="4">
        <v>1</v>
      </c>
      <c r="D8" s="6">
        <v>31.64</v>
      </c>
      <c r="E8" s="6">
        <v>31.64</v>
      </c>
      <c r="F8" s="9">
        <v>89.99</v>
      </c>
      <c r="G8" s="6">
        <v>89.99</v>
      </c>
      <c r="H8" s="4" t="s">
        <v>2020</v>
      </c>
      <c r="I8" s="2" t="s">
        <v>2021</v>
      </c>
      <c r="J8" s="10"/>
      <c r="K8" s="6"/>
      <c r="L8" s="6"/>
      <c r="M8" s="2" t="s">
        <v>1970</v>
      </c>
      <c r="N8" s="2" t="s">
        <v>2012</v>
      </c>
      <c r="O8" s="2" t="s">
        <v>1987</v>
      </c>
      <c r="P8" s="2" t="s">
        <v>1988</v>
      </c>
      <c r="Q8" s="2" t="s">
        <v>2022</v>
      </c>
      <c r="R8" s="11" t="str">
        <f>HYPERLINK("http://slimages.macys.com/is/image/MCY/9566767 ")</f>
        <v xml:space="preserve">http://slimages.macys.com/is/image/MCY/9566767 </v>
      </c>
    </row>
    <row r="9" spans="1:18" ht="24.75" x14ac:dyDescent="0.25">
      <c r="A9" s="8" t="s">
        <v>2023</v>
      </c>
      <c r="B9" s="2" t="s">
        <v>2024</v>
      </c>
      <c r="C9" s="4">
        <v>1</v>
      </c>
      <c r="D9" s="6">
        <v>36.380000000000003</v>
      </c>
      <c r="E9" s="6">
        <v>36.380000000000003</v>
      </c>
      <c r="F9" s="9">
        <v>89.99</v>
      </c>
      <c r="G9" s="6">
        <v>89.99</v>
      </c>
      <c r="H9" s="4" t="s">
        <v>2025</v>
      </c>
      <c r="I9" s="2" t="s">
        <v>2026</v>
      </c>
      <c r="J9" s="10"/>
      <c r="K9" s="6"/>
      <c r="L9" s="6"/>
      <c r="M9" s="2" t="s">
        <v>1970</v>
      </c>
      <c r="N9" s="2" t="s">
        <v>2027</v>
      </c>
      <c r="O9" s="2" t="s">
        <v>1987</v>
      </c>
      <c r="P9" s="2" t="s">
        <v>1988</v>
      </c>
      <c r="Q9" s="2"/>
      <c r="R9" s="11" t="str">
        <f>HYPERLINK("http://slimages.macys.com/is/image/MCY/8951291 ")</f>
        <v xml:space="preserve">http://slimages.macys.com/is/image/MCY/8951291 </v>
      </c>
    </row>
    <row r="10" spans="1:18" ht="96.75" x14ac:dyDescent="0.25">
      <c r="A10" s="8" t="s">
        <v>2028</v>
      </c>
      <c r="B10" s="2" t="s">
        <v>2029</v>
      </c>
      <c r="C10" s="4">
        <v>1</v>
      </c>
      <c r="D10" s="6">
        <v>34.82</v>
      </c>
      <c r="E10" s="6">
        <v>34.82</v>
      </c>
      <c r="F10" s="9">
        <v>89.99</v>
      </c>
      <c r="G10" s="6">
        <v>89.99</v>
      </c>
      <c r="H10" s="4" t="s">
        <v>2030</v>
      </c>
      <c r="I10" s="2" t="s">
        <v>2031</v>
      </c>
      <c r="J10" s="10"/>
      <c r="K10" s="6"/>
      <c r="L10" s="6"/>
      <c r="M10" s="2" t="s">
        <v>1970</v>
      </c>
      <c r="N10" s="2" t="s">
        <v>2032</v>
      </c>
      <c r="O10" s="2" t="s">
        <v>1987</v>
      </c>
      <c r="P10" s="2" t="s">
        <v>1988</v>
      </c>
      <c r="Q10" s="2" t="s">
        <v>2033</v>
      </c>
      <c r="R10" s="11" t="str">
        <f>HYPERLINK("http://slimages.macys.com/is/image/MCY/16528887 ")</f>
        <v xml:space="preserve">http://slimages.macys.com/is/image/MCY/16528887 </v>
      </c>
    </row>
    <row r="11" spans="1:18" ht="72.75" x14ac:dyDescent="0.25">
      <c r="A11" s="8" t="s">
        <v>2034</v>
      </c>
      <c r="B11" s="2" t="s">
        <v>2035</v>
      </c>
      <c r="C11" s="4">
        <v>1</v>
      </c>
      <c r="D11" s="6">
        <v>27.17</v>
      </c>
      <c r="E11" s="6">
        <v>27.17</v>
      </c>
      <c r="F11" s="9">
        <v>67.989999999999995</v>
      </c>
      <c r="G11" s="6">
        <v>67.989999999999995</v>
      </c>
      <c r="H11" s="4" t="s">
        <v>2036</v>
      </c>
      <c r="I11" s="2" t="s">
        <v>2026</v>
      </c>
      <c r="J11" s="10" t="s">
        <v>2037</v>
      </c>
      <c r="K11" s="6"/>
      <c r="L11" s="6"/>
      <c r="M11" s="2" t="s">
        <v>1970</v>
      </c>
      <c r="N11" s="2" t="s">
        <v>2005</v>
      </c>
      <c r="O11" s="2" t="s">
        <v>2038</v>
      </c>
      <c r="P11" s="2" t="s">
        <v>2039</v>
      </c>
      <c r="Q11" s="2" t="s">
        <v>2040</v>
      </c>
      <c r="R11" s="11" t="str">
        <f>HYPERLINK("http://slimages.macys.com/is/image/MCY/11798186 ")</f>
        <v xml:space="preserve">http://slimages.macys.com/is/image/MCY/11798186 </v>
      </c>
    </row>
    <row r="12" spans="1:18" ht="24.75" x14ac:dyDescent="0.25">
      <c r="A12" s="8" t="s">
        <v>2041</v>
      </c>
      <c r="B12" s="2" t="s">
        <v>2042</v>
      </c>
      <c r="C12" s="4">
        <v>1</v>
      </c>
      <c r="D12" s="6">
        <v>29.32</v>
      </c>
      <c r="E12" s="6">
        <v>29.32</v>
      </c>
      <c r="F12" s="9">
        <v>76.989999999999995</v>
      </c>
      <c r="G12" s="6">
        <v>76.989999999999995</v>
      </c>
      <c r="H12" s="4" t="s">
        <v>2043</v>
      </c>
      <c r="I12" s="2" t="s">
        <v>2021</v>
      </c>
      <c r="J12" s="10"/>
      <c r="K12" s="6"/>
      <c r="L12" s="6"/>
      <c r="M12" s="2" t="s">
        <v>1970</v>
      </c>
      <c r="N12" s="2" t="s">
        <v>1986</v>
      </c>
      <c r="O12" s="2" t="s">
        <v>2044</v>
      </c>
      <c r="P12" s="2" t="s">
        <v>1988</v>
      </c>
      <c r="Q12" s="2" t="s">
        <v>1995</v>
      </c>
      <c r="R12" s="11" t="str">
        <f>HYPERLINK("http://slimages.macys.com/is/image/MCY/14308338 ")</f>
        <v xml:space="preserve">http://slimages.macys.com/is/image/MCY/14308338 </v>
      </c>
    </row>
    <row r="13" spans="1:18" ht="48.75" x14ac:dyDescent="0.25">
      <c r="A13" s="8" t="s">
        <v>2045</v>
      </c>
      <c r="B13" s="2" t="s">
        <v>2046</v>
      </c>
      <c r="C13" s="4">
        <v>1</v>
      </c>
      <c r="D13" s="6">
        <v>27.27</v>
      </c>
      <c r="E13" s="6">
        <v>27.27</v>
      </c>
      <c r="F13" s="9">
        <v>69.989999999999995</v>
      </c>
      <c r="G13" s="6">
        <v>69.989999999999995</v>
      </c>
      <c r="H13" s="4" t="s">
        <v>2047</v>
      </c>
      <c r="I13" s="2" t="s">
        <v>2048</v>
      </c>
      <c r="J13" s="10"/>
      <c r="K13" s="6"/>
      <c r="L13" s="6"/>
      <c r="M13" s="2" t="s">
        <v>1970</v>
      </c>
      <c r="N13" s="2" t="s">
        <v>1986</v>
      </c>
      <c r="O13" s="2" t="s">
        <v>1987</v>
      </c>
      <c r="P13" s="2" t="s">
        <v>1988</v>
      </c>
      <c r="Q13" s="2" t="s">
        <v>2049</v>
      </c>
      <c r="R13" s="11" t="str">
        <f>HYPERLINK("http://slimages.macys.com/is/image/MCY/9483987 ")</f>
        <v xml:space="preserve">http://slimages.macys.com/is/image/MCY/9483987 </v>
      </c>
    </row>
    <row r="14" spans="1:18" ht="24.75" x14ac:dyDescent="0.25">
      <c r="A14" s="8" t="s">
        <v>2050</v>
      </c>
      <c r="B14" s="2" t="s">
        <v>2051</v>
      </c>
      <c r="C14" s="4">
        <v>1</v>
      </c>
      <c r="D14" s="6">
        <v>26.04</v>
      </c>
      <c r="E14" s="6">
        <v>26.04</v>
      </c>
      <c r="F14" s="9">
        <v>63.99</v>
      </c>
      <c r="G14" s="6">
        <v>63.99</v>
      </c>
      <c r="H14" s="4" t="s">
        <v>2052</v>
      </c>
      <c r="I14" s="2" t="s">
        <v>1993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2053</v>
      </c>
      <c r="R14" s="11" t="str">
        <f>HYPERLINK("http://slimages.macys.com/is/image/MCY/9767726 ")</f>
        <v xml:space="preserve">http://slimages.macys.com/is/image/MCY/9767726 </v>
      </c>
    </row>
    <row r="15" spans="1:18" ht="36.75" x14ac:dyDescent="0.25">
      <c r="A15" s="8" t="s">
        <v>2054</v>
      </c>
      <c r="B15" s="2" t="s">
        <v>2055</v>
      </c>
      <c r="C15" s="4">
        <v>1</v>
      </c>
      <c r="D15" s="6">
        <v>24.41</v>
      </c>
      <c r="E15" s="6">
        <v>24.41</v>
      </c>
      <c r="F15" s="9">
        <v>59.99</v>
      </c>
      <c r="G15" s="6">
        <v>59.99</v>
      </c>
      <c r="H15" s="4" t="s">
        <v>2056</v>
      </c>
      <c r="I15" s="2" t="s">
        <v>2057</v>
      </c>
      <c r="J15" s="10"/>
      <c r="K15" s="6"/>
      <c r="L15" s="6"/>
      <c r="M15" s="2" t="s">
        <v>1970</v>
      </c>
      <c r="N15" s="2" t="s">
        <v>1986</v>
      </c>
      <c r="O15" s="2" t="s">
        <v>1987</v>
      </c>
      <c r="P15" s="2" t="s">
        <v>1988</v>
      </c>
      <c r="Q15" s="2" t="s">
        <v>2058</v>
      </c>
      <c r="R15" s="11" t="str">
        <f>HYPERLINK("http://slimages.macys.com/is/image/MCY/9812356 ")</f>
        <v xml:space="preserve">http://slimages.macys.com/is/image/MCY/9812356 </v>
      </c>
    </row>
    <row r="16" spans="1:18" ht="24.75" x14ac:dyDescent="0.25">
      <c r="A16" s="8" t="s">
        <v>2059</v>
      </c>
      <c r="B16" s="2" t="s">
        <v>2060</v>
      </c>
      <c r="C16" s="4">
        <v>2</v>
      </c>
      <c r="D16" s="6">
        <v>15.99</v>
      </c>
      <c r="E16" s="6">
        <v>31.98</v>
      </c>
      <c r="F16" s="9">
        <v>57.99</v>
      </c>
      <c r="G16" s="6">
        <v>115.98</v>
      </c>
      <c r="H16" s="4" t="s">
        <v>2061</v>
      </c>
      <c r="I16" s="2" t="s">
        <v>1993</v>
      </c>
      <c r="J16" s="10"/>
      <c r="K16" s="6"/>
      <c r="L16" s="6"/>
      <c r="M16" s="2" t="s">
        <v>1970</v>
      </c>
      <c r="N16" s="2" t="s">
        <v>2012</v>
      </c>
      <c r="O16" s="2" t="s">
        <v>2062</v>
      </c>
      <c r="P16" s="2" t="s">
        <v>1988</v>
      </c>
      <c r="Q16" s="2" t="s">
        <v>2063</v>
      </c>
      <c r="R16" s="11" t="str">
        <f>HYPERLINK("http://slimages.macys.com/is/image/MCY/11544404 ")</f>
        <v xml:space="preserve">http://slimages.macys.com/is/image/MCY/11544404 </v>
      </c>
    </row>
    <row r="17" spans="1:18" ht="24.75" x14ac:dyDescent="0.25">
      <c r="A17" s="8" t="s">
        <v>2064</v>
      </c>
      <c r="B17" s="2" t="s">
        <v>2065</v>
      </c>
      <c r="C17" s="4">
        <v>4</v>
      </c>
      <c r="D17" s="6">
        <v>15.62</v>
      </c>
      <c r="E17" s="6">
        <v>62.48</v>
      </c>
      <c r="F17" s="9">
        <v>38.99</v>
      </c>
      <c r="G17" s="6">
        <v>155.96</v>
      </c>
      <c r="H17" s="4" t="s">
        <v>2066</v>
      </c>
      <c r="I17" s="2" t="s">
        <v>2017</v>
      </c>
      <c r="J17" s="10"/>
      <c r="K17" s="6"/>
      <c r="L17" s="6"/>
      <c r="M17" s="2" t="s">
        <v>1970</v>
      </c>
      <c r="N17" s="2" t="s">
        <v>2012</v>
      </c>
      <c r="O17" s="2" t="s">
        <v>1987</v>
      </c>
      <c r="P17" s="2" t="s">
        <v>1988</v>
      </c>
      <c r="Q17" s="2" t="s">
        <v>2067</v>
      </c>
      <c r="R17" s="11" t="str">
        <f>HYPERLINK("http://slimages.macys.com/is/image/MCY/9310362 ")</f>
        <v xml:space="preserve">http://slimages.macys.com/is/image/MCY/9310362 </v>
      </c>
    </row>
    <row r="18" spans="1:18" ht="96.75" x14ac:dyDescent="0.25">
      <c r="A18" s="8" t="s">
        <v>2068</v>
      </c>
      <c r="B18" s="2" t="s">
        <v>2069</v>
      </c>
      <c r="C18" s="4">
        <v>1</v>
      </c>
      <c r="D18" s="6">
        <v>11.16</v>
      </c>
      <c r="E18" s="6">
        <v>11.16</v>
      </c>
      <c r="F18" s="9">
        <v>19.989999999999998</v>
      </c>
      <c r="G18" s="6">
        <v>19.989999999999998</v>
      </c>
      <c r="H18" s="4" t="s">
        <v>2070</v>
      </c>
      <c r="I18" s="2" t="s">
        <v>2071</v>
      </c>
      <c r="J18" s="10" t="s">
        <v>2072</v>
      </c>
      <c r="K18" s="6"/>
      <c r="L18" s="6"/>
      <c r="M18" s="2" t="s">
        <v>1970</v>
      </c>
      <c r="N18" s="2" t="s">
        <v>2012</v>
      </c>
      <c r="O18" s="2" t="s">
        <v>1987</v>
      </c>
      <c r="P18" s="2" t="s">
        <v>1988</v>
      </c>
      <c r="Q18" s="2" t="s">
        <v>2073</v>
      </c>
      <c r="R18" s="11" t="str">
        <f>HYPERLINK("http://slimages.macys.com/is/image/MCY/9613896 ")</f>
        <v xml:space="preserve">http://slimages.macys.com/is/image/MCY/9613896 </v>
      </c>
    </row>
    <row r="19" spans="1:18" ht="24.75" x14ac:dyDescent="0.25">
      <c r="A19" s="8" t="s">
        <v>2074</v>
      </c>
      <c r="B19" s="2" t="s">
        <v>2075</v>
      </c>
      <c r="C19" s="4">
        <v>1</v>
      </c>
      <c r="D19" s="6">
        <v>11.5</v>
      </c>
      <c r="E19" s="6">
        <v>11.5</v>
      </c>
      <c r="F19" s="9">
        <v>22.99</v>
      </c>
      <c r="G19" s="6">
        <v>22.99</v>
      </c>
      <c r="H19" s="4" t="s">
        <v>2076</v>
      </c>
      <c r="I19" s="2" t="s">
        <v>2077</v>
      </c>
      <c r="J19" s="10" t="s">
        <v>2078</v>
      </c>
      <c r="K19" s="6"/>
      <c r="L19" s="6"/>
      <c r="M19" s="2" t="s">
        <v>1970</v>
      </c>
      <c r="N19" s="2" t="s">
        <v>1986</v>
      </c>
      <c r="O19" s="2" t="s">
        <v>2079</v>
      </c>
      <c r="P19" s="2" t="s">
        <v>1988</v>
      </c>
      <c r="Q19" s="2" t="s">
        <v>2080</v>
      </c>
      <c r="R19" s="11" t="str">
        <f>HYPERLINK("http://slimages.macys.com/is/image/MCY/13986096 ")</f>
        <v xml:space="preserve">http://slimages.macys.com/is/image/MCY/13986096 </v>
      </c>
    </row>
    <row r="20" spans="1:18" ht="24.75" x14ac:dyDescent="0.25">
      <c r="A20" s="8" t="s">
        <v>2081</v>
      </c>
      <c r="B20" s="2" t="s">
        <v>2082</v>
      </c>
      <c r="C20" s="4">
        <v>1</v>
      </c>
      <c r="D20" s="6">
        <v>8.93</v>
      </c>
      <c r="E20" s="6">
        <v>8.93</v>
      </c>
      <c r="F20" s="9">
        <v>19.989999999999998</v>
      </c>
      <c r="G20" s="6">
        <v>19.989999999999998</v>
      </c>
      <c r="H20" s="4" t="s">
        <v>2083</v>
      </c>
      <c r="I20" s="2" t="s">
        <v>2077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/>
      <c r="R20" s="11" t="str">
        <f>HYPERLINK("http://slimages.macys.com/is/image/MCY/9927294 ")</f>
        <v xml:space="preserve">http://slimages.macys.com/is/image/MCY/9927294 </v>
      </c>
    </row>
    <row r="21" spans="1:18" ht="24.75" x14ac:dyDescent="0.25">
      <c r="A21" s="8" t="s">
        <v>2084</v>
      </c>
      <c r="B21" s="2" t="s">
        <v>2085</v>
      </c>
      <c r="C21" s="4">
        <v>6</v>
      </c>
      <c r="D21" s="6">
        <v>8.56</v>
      </c>
      <c r="E21" s="6">
        <v>51.36</v>
      </c>
      <c r="F21" s="9">
        <v>20.99</v>
      </c>
      <c r="G21" s="6">
        <v>125.94</v>
      </c>
      <c r="H21" s="4" t="s">
        <v>2086</v>
      </c>
      <c r="I21" s="2" t="s">
        <v>2087</v>
      </c>
      <c r="J21" s="10"/>
      <c r="K21" s="6"/>
      <c r="L21" s="6"/>
      <c r="M21" s="2" t="s">
        <v>1970</v>
      </c>
      <c r="N21" s="2" t="s">
        <v>2012</v>
      </c>
      <c r="O21" s="2" t="s">
        <v>2088</v>
      </c>
      <c r="P21" s="2" t="s">
        <v>1988</v>
      </c>
      <c r="Q21" s="2"/>
      <c r="R21" s="11" t="str">
        <f>HYPERLINK("http://slimages.macys.com/is/image/MCY/9211725 ")</f>
        <v xml:space="preserve">http://slimages.macys.com/is/image/MCY/9211725 </v>
      </c>
    </row>
    <row r="22" spans="1:18" ht="24.75" x14ac:dyDescent="0.25">
      <c r="A22" s="8" t="s">
        <v>2089</v>
      </c>
      <c r="B22" s="2" t="s">
        <v>2090</v>
      </c>
      <c r="C22" s="4">
        <v>1</v>
      </c>
      <c r="D22" s="6">
        <v>7.27</v>
      </c>
      <c r="E22" s="6">
        <v>7.27</v>
      </c>
      <c r="F22" s="9">
        <v>12.61</v>
      </c>
      <c r="G22" s="6">
        <v>12.61</v>
      </c>
      <c r="H22" s="4" t="s">
        <v>2091</v>
      </c>
      <c r="I22" s="2" t="s">
        <v>2026</v>
      </c>
      <c r="J22" s="10" t="s">
        <v>2092</v>
      </c>
      <c r="K22" s="6"/>
      <c r="L22" s="6"/>
      <c r="M22" s="2" t="s">
        <v>1970</v>
      </c>
      <c r="N22" s="2" t="s">
        <v>2093</v>
      </c>
      <c r="O22" s="2" t="s">
        <v>2094</v>
      </c>
      <c r="P22" s="2" t="s">
        <v>1988</v>
      </c>
      <c r="Q22" s="2" t="s">
        <v>2095</v>
      </c>
      <c r="R22" s="11" t="str">
        <f>HYPERLINK("http://slimages.macys.com/is/image/MCY/481228 ")</f>
        <v xml:space="preserve">http://slimages.macys.com/is/image/MCY/481228 </v>
      </c>
    </row>
    <row r="23" spans="1:18" ht="24.75" x14ac:dyDescent="0.25">
      <c r="A23" s="8" t="s">
        <v>2096</v>
      </c>
      <c r="B23" s="2" t="s">
        <v>2097</v>
      </c>
      <c r="C23" s="4">
        <v>2</v>
      </c>
      <c r="D23" s="6">
        <v>5.4</v>
      </c>
      <c r="E23" s="6">
        <v>10.8</v>
      </c>
      <c r="F23" s="9">
        <v>14.99</v>
      </c>
      <c r="G23" s="6">
        <v>29.98</v>
      </c>
      <c r="H23" s="4">
        <v>20045</v>
      </c>
      <c r="I23" s="2" t="s">
        <v>2026</v>
      </c>
      <c r="J23" s="10"/>
      <c r="K23" s="6"/>
      <c r="L23" s="6"/>
      <c r="M23" s="2" t="s">
        <v>1970</v>
      </c>
      <c r="N23" s="2" t="s">
        <v>2005</v>
      </c>
      <c r="O23" s="2" t="s">
        <v>2098</v>
      </c>
      <c r="P23" s="2" t="s">
        <v>1988</v>
      </c>
      <c r="Q23" s="2" t="s">
        <v>2099</v>
      </c>
      <c r="R23" s="11" t="str">
        <f>HYPERLINK("http://slimages.macys.com/is/image/MCY/11531693 ")</f>
        <v xml:space="preserve">http://slimages.macys.com/is/image/MCY/11531693 </v>
      </c>
    </row>
    <row r="24" spans="1:18" ht="24.75" x14ac:dyDescent="0.25">
      <c r="A24" s="8" t="s">
        <v>2100</v>
      </c>
      <c r="B24" s="2" t="s">
        <v>2101</v>
      </c>
      <c r="C24" s="4">
        <v>1</v>
      </c>
      <c r="D24" s="6">
        <v>28.46</v>
      </c>
      <c r="E24" s="6">
        <v>28.46</v>
      </c>
      <c r="F24" s="9">
        <v>77.989999999999995</v>
      </c>
      <c r="G24" s="6">
        <v>77.989999999999995</v>
      </c>
      <c r="H24" s="4" t="s">
        <v>2102</v>
      </c>
      <c r="I24" s="2" t="s">
        <v>2077</v>
      </c>
      <c r="J24" s="10"/>
      <c r="K24" s="6"/>
      <c r="L24" s="6"/>
      <c r="M24" s="2" t="s">
        <v>1970</v>
      </c>
      <c r="N24" s="2" t="s">
        <v>1986</v>
      </c>
      <c r="O24" s="2" t="s">
        <v>1994</v>
      </c>
      <c r="P24" s="2"/>
      <c r="Q24" s="2"/>
      <c r="R24" s="11"/>
    </row>
    <row r="25" spans="1:18" x14ac:dyDescent="0.25">
      <c r="L25" s="15"/>
    </row>
  </sheetData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4"/>
  <sheetViews>
    <sheetView topLeftCell="A32" workbookViewId="0">
      <selection activeCell="J55" sqref="J55"/>
    </sheetView>
  </sheetViews>
  <sheetFormatPr defaultRowHeight="15" x14ac:dyDescent="0.25"/>
  <cols>
    <col min="1" max="1" width="14.28515625" customWidth="1"/>
    <col min="2" max="2" width="28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1910</v>
      </c>
      <c r="B2" s="2" t="s">
        <v>1911</v>
      </c>
      <c r="C2" s="4">
        <v>1</v>
      </c>
      <c r="D2" s="6">
        <v>129.19999999999999</v>
      </c>
      <c r="E2" s="6">
        <v>129.19999999999999</v>
      </c>
      <c r="F2" s="9">
        <v>329.99</v>
      </c>
      <c r="G2" s="6">
        <v>329.99</v>
      </c>
      <c r="H2" s="4" t="s">
        <v>1912</v>
      </c>
      <c r="I2" s="2" t="s">
        <v>2071</v>
      </c>
      <c r="J2" s="10"/>
      <c r="K2" s="6"/>
      <c r="L2" s="6"/>
      <c r="M2" s="2" t="s">
        <v>1970</v>
      </c>
      <c r="N2" s="2" t="s">
        <v>2626</v>
      </c>
      <c r="O2" s="2" t="s">
        <v>2627</v>
      </c>
      <c r="P2" s="2" t="s">
        <v>1988</v>
      </c>
      <c r="Q2" s="2" t="s">
        <v>2942</v>
      </c>
      <c r="R2" s="11" t="str">
        <f>HYPERLINK("http://slimages.macys.com/is/image/MCY/1611451 ")</f>
        <v xml:space="preserve">http://slimages.macys.com/is/image/MCY/1611451 </v>
      </c>
    </row>
    <row r="3" spans="1:18" ht="24.75" x14ac:dyDescent="0.25">
      <c r="A3" s="8" t="s">
        <v>1913</v>
      </c>
      <c r="B3" s="2" t="s">
        <v>1914</v>
      </c>
      <c r="C3" s="4">
        <v>1</v>
      </c>
      <c r="D3" s="6">
        <v>80.61</v>
      </c>
      <c r="E3" s="6">
        <v>80.61</v>
      </c>
      <c r="F3" s="9">
        <v>199.99</v>
      </c>
      <c r="G3" s="6">
        <v>199.99</v>
      </c>
      <c r="H3" s="4" t="s">
        <v>1915</v>
      </c>
      <c r="I3" s="2" t="s">
        <v>2106</v>
      </c>
      <c r="J3" s="10"/>
      <c r="K3" s="6"/>
      <c r="L3" s="6"/>
      <c r="M3" s="2" t="s">
        <v>1970</v>
      </c>
      <c r="N3" s="2" t="s">
        <v>991</v>
      </c>
      <c r="O3" s="2" t="s">
        <v>992</v>
      </c>
      <c r="P3" s="2" t="s">
        <v>1988</v>
      </c>
      <c r="Q3" s="2"/>
      <c r="R3" s="11" t="str">
        <f>HYPERLINK("http://slimages.macys.com/is/image/MCY/9369485 ")</f>
        <v xml:space="preserve">http://slimages.macys.com/is/image/MCY/9369485 </v>
      </c>
    </row>
    <row r="4" spans="1:18" ht="48.75" x14ac:dyDescent="0.25">
      <c r="A4" s="8" t="s">
        <v>1916</v>
      </c>
      <c r="B4" s="2" t="s">
        <v>1917</v>
      </c>
      <c r="C4" s="4">
        <v>1</v>
      </c>
      <c r="D4" s="6">
        <v>72</v>
      </c>
      <c r="E4" s="6">
        <v>72</v>
      </c>
      <c r="F4" s="9">
        <v>210.99</v>
      </c>
      <c r="G4" s="6">
        <v>210.99</v>
      </c>
      <c r="H4" s="4" t="s">
        <v>1918</v>
      </c>
      <c r="I4" s="2" t="s">
        <v>2004</v>
      </c>
      <c r="J4" s="10" t="s">
        <v>2737</v>
      </c>
      <c r="K4" s="6"/>
      <c r="L4" s="6"/>
      <c r="M4" s="2" t="s">
        <v>1970</v>
      </c>
      <c r="N4" s="2" t="s">
        <v>1986</v>
      </c>
      <c r="O4" s="2" t="s">
        <v>2216</v>
      </c>
      <c r="P4" s="2" t="s">
        <v>1988</v>
      </c>
      <c r="Q4" s="2" t="s">
        <v>2217</v>
      </c>
      <c r="R4" s="11" t="str">
        <f>HYPERLINK("http://slimages.macys.com/is/image/MCY/12230168 ")</f>
        <v xml:space="preserve">http://slimages.macys.com/is/image/MCY/12230168 </v>
      </c>
    </row>
    <row r="5" spans="1:18" ht="48.75" x14ac:dyDescent="0.25">
      <c r="A5" s="8" t="s">
        <v>2865</v>
      </c>
      <c r="B5" s="2" t="s">
        <v>2866</v>
      </c>
      <c r="C5" s="4">
        <v>1</v>
      </c>
      <c r="D5" s="6">
        <v>56.42</v>
      </c>
      <c r="E5" s="6">
        <v>56.42</v>
      </c>
      <c r="F5" s="9">
        <v>137.99</v>
      </c>
      <c r="G5" s="6">
        <v>137.99</v>
      </c>
      <c r="H5" s="4" t="s">
        <v>2867</v>
      </c>
      <c r="I5" s="2" t="s">
        <v>2071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2868</v>
      </c>
      <c r="R5" s="11" t="str">
        <f>HYPERLINK("http://slimages.macys.com/is/image/MCY/9798727 ")</f>
        <v xml:space="preserve">http://slimages.macys.com/is/image/MCY/9798727 </v>
      </c>
    </row>
    <row r="6" spans="1:18" ht="24.75" x14ac:dyDescent="0.25">
      <c r="A6" s="8" t="s">
        <v>1919</v>
      </c>
      <c r="B6" s="2" t="s">
        <v>1920</v>
      </c>
      <c r="C6" s="4">
        <v>1</v>
      </c>
      <c r="D6" s="6">
        <v>39.08</v>
      </c>
      <c r="E6" s="6">
        <v>39.08</v>
      </c>
      <c r="F6" s="9">
        <v>140.99</v>
      </c>
      <c r="G6" s="6">
        <v>140.99</v>
      </c>
      <c r="H6" s="4" t="s">
        <v>1921</v>
      </c>
      <c r="I6" s="2" t="s">
        <v>2144</v>
      </c>
      <c r="J6" s="10"/>
      <c r="K6" s="6"/>
      <c r="L6" s="6"/>
      <c r="M6" s="2" t="s">
        <v>1970</v>
      </c>
      <c r="N6" s="2" t="s">
        <v>2012</v>
      </c>
      <c r="O6" s="2" t="s">
        <v>1987</v>
      </c>
      <c r="P6" s="2" t="s">
        <v>1988</v>
      </c>
      <c r="Q6" s="2" t="s">
        <v>2063</v>
      </c>
      <c r="R6" s="11" t="str">
        <f>HYPERLINK("http://slimages.macys.com/is/image/MCY/11825405 ")</f>
        <v xml:space="preserve">http://slimages.macys.com/is/image/MCY/11825405 </v>
      </c>
    </row>
    <row r="7" spans="1:18" ht="84.75" x14ac:dyDescent="0.25">
      <c r="A7" s="8" t="s">
        <v>1922</v>
      </c>
      <c r="B7" s="2" t="s">
        <v>1923</v>
      </c>
      <c r="C7" s="4">
        <v>1</v>
      </c>
      <c r="D7" s="6">
        <v>45.21</v>
      </c>
      <c r="E7" s="6">
        <v>45.21</v>
      </c>
      <c r="F7" s="9">
        <v>119.99</v>
      </c>
      <c r="G7" s="6">
        <v>119.99</v>
      </c>
      <c r="H7" s="4" t="s">
        <v>1924</v>
      </c>
      <c r="I7" s="2" t="s">
        <v>2177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1925</v>
      </c>
      <c r="R7" s="11" t="str">
        <f>HYPERLINK("http://slimages.macys.com/is/image/MCY/9627797 ")</f>
        <v xml:space="preserve">http://slimages.macys.com/is/image/MCY/9627797 </v>
      </c>
    </row>
    <row r="8" spans="1:18" ht="24.75" x14ac:dyDescent="0.25">
      <c r="A8" s="8" t="s">
        <v>1926</v>
      </c>
      <c r="B8" s="2" t="s">
        <v>2384</v>
      </c>
      <c r="C8" s="4">
        <v>2</v>
      </c>
      <c r="D8" s="6">
        <v>42.57</v>
      </c>
      <c r="E8" s="6">
        <v>85.14</v>
      </c>
      <c r="F8" s="9">
        <v>99.99</v>
      </c>
      <c r="G8" s="6">
        <v>199.98</v>
      </c>
      <c r="H8" s="4" t="s">
        <v>2385</v>
      </c>
      <c r="I8" s="2" t="s">
        <v>2603</v>
      </c>
      <c r="J8" s="10"/>
      <c r="K8" s="6"/>
      <c r="L8" s="6"/>
      <c r="M8" s="2" t="s">
        <v>1970</v>
      </c>
      <c r="N8" s="2" t="s">
        <v>2386</v>
      </c>
      <c r="O8" s="2" t="s">
        <v>2387</v>
      </c>
      <c r="P8" s="2" t="s">
        <v>1988</v>
      </c>
      <c r="Q8" s="2"/>
      <c r="R8" s="11" t="str">
        <f>HYPERLINK("http://slimages.macys.com/is/image/MCY/14607099 ")</f>
        <v xml:space="preserve">http://slimages.macys.com/is/image/MCY/14607099 </v>
      </c>
    </row>
    <row r="9" spans="1:18" ht="24.75" x14ac:dyDescent="0.25">
      <c r="A9" s="8" t="s">
        <v>2388</v>
      </c>
      <c r="B9" s="2" t="s">
        <v>2384</v>
      </c>
      <c r="C9" s="4">
        <v>1</v>
      </c>
      <c r="D9" s="6">
        <v>42.57</v>
      </c>
      <c r="E9" s="6">
        <v>42.57</v>
      </c>
      <c r="F9" s="9">
        <v>99.99</v>
      </c>
      <c r="G9" s="6">
        <v>99.99</v>
      </c>
      <c r="H9" s="4" t="s">
        <v>2385</v>
      </c>
      <c r="I9" s="2" t="s">
        <v>2162</v>
      </c>
      <c r="J9" s="10"/>
      <c r="K9" s="6"/>
      <c r="L9" s="6"/>
      <c r="M9" s="2" t="s">
        <v>1970</v>
      </c>
      <c r="N9" s="2" t="s">
        <v>2386</v>
      </c>
      <c r="O9" s="2" t="s">
        <v>2387</v>
      </c>
      <c r="P9" s="2" t="s">
        <v>1988</v>
      </c>
      <c r="Q9" s="2"/>
      <c r="R9" s="11" t="str">
        <f>HYPERLINK("http://slimages.macys.com/is/image/MCY/14607099 ")</f>
        <v xml:space="preserve">http://slimages.macys.com/is/image/MCY/14607099 </v>
      </c>
    </row>
    <row r="10" spans="1:18" ht="24.75" x14ac:dyDescent="0.25">
      <c r="A10" s="8" t="s">
        <v>2383</v>
      </c>
      <c r="B10" s="2" t="s">
        <v>2384</v>
      </c>
      <c r="C10" s="4">
        <v>3</v>
      </c>
      <c r="D10" s="6">
        <v>42.57</v>
      </c>
      <c r="E10" s="6">
        <v>127.71</v>
      </c>
      <c r="F10" s="9">
        <v>99.99</v>
      </c>
      <c r="G10" s="6">
        <v>299.97000000000003</v>
      </c>
      <c r="H10" s="4" t="s">
        <v>2385</v>
      </c>
      <c r="I10" s="2" t="s">
        <v>2283</v>
      </c>
      <c r="J10" s="10"/>
      <c r="K10" s="6"/>
      <c r="L10" s="6"/>
      <c r="M10" s="2" t="s">
        <v>1970</v>
      </c>
      <c r="N10" s="2" t="s">
        <v>2386</v>
      </c>
      <c r="O10" s="2" t="s">
        <v>2387</v>
      </c>
      <c r="P10" s="2" t="s">
        <v>1988</v>
      </c>
      <c r="Q10" s="2"/>
      <c r="R10" s="11" t="str">
        <f>HYPERLINK("http://slimages.macys.com/is/image/MCY/14607099 ")</f>
        <v xml:space="preserve">http://slimages.macys.com/is/image/MCY/14607099 </v>
      </c>
    </row>
    <row r="11" spans="1:18" ht="60.75" x14ac:dyDescent="0.25">
      <c r="A11" s="8" t="s">
        <v>1927</v>
      </c>
      <c r="B11" s="2" t="s">
        <v>1928</v>
      </c>
      <c r="C11" s="4">
        <v>1</v>
      </c>
      <c r="D11" s="6">
        <v>40.909999999999997</v>
      </c>
      <c r="E11" s="6">
        <v>40.909999999999997</v>
      </c>
      <c r="F11" s="9">
        <v>109.99</v>
      </c>
      <c r="G11" s="6">
        <v>109.99</v>
      </c>
      <c r="H11" s="4" t="s">
        <v>1929</v>
      </c>
      <c r="I11" s="2" t="s">
        <v>2120</v>
      </c>
      <c r="J11" s="10"/>
      <c r="K11" s="6"/>
      <c r="L11" s="6"/>
      <c r="M11" s="2" t="s">
        <v>1970</v>
      </c>
      <c r="N11" s="2" t="s">
        <v>2386</v>
      </c>
      <c r="O11" s="2" t="s">
        <v>2932</v>
      </c>
      <c r="P11" s="2" t="s">
        <v>1988</v>
      </c>
      <c r="Q11" s="2" t="s">
        <v>1930</v>
      </c>
      <c r="R11" s="11" t="str">
        <f>HYPERLINK("http://slimages.macys.com/is/image/MCY/12071407 ")</f>
        <v xml:space="preserve">http://slimages.macys.com/is/image/MCY/12071407 </v>
      </c>
    </row>
    <row r="12" spans="1:18" ht="24.75" x14ac:dyDescent="0.25">
      <c r="A12" s="8" t="s">
        <v>2527</v>
      </c>
      <c r="B12" s="2" t="s">
        <v>1931</v>
      </c>
      <c r="C12" s="4">
        <v>2</v>
      </c>
      <c r="D12" s="6">
        <v>34.5</v>
      </c>
      <c r="E12" s="6">
        <v>69</v>
      </c>
      <c r="F12" s="9">
        <v>83.99</v>
      </c>
      <c r="G12" s="6">
        <v>167.98</v>
      </c>
      <c r="H12" s="4" t="s">
        <v>2529</v>
      </c>
      <c r="I12" s="2" t="s">
        <v>2530</v>
      </c>
      <c r="J12" s="10"/>
      <c r="K12" s="6"/>
      <c r="L12" s="6"/>
      <c r="M12" s="2" t="s">
        <v>1970</v>
      </c>
      <c r="N12" s="2" t="s">
        <v>1986</v>
      </c>
      <c r="O12" s="2" t="s">
        <v>2531</v>
      </c>
      <c r="P12" s="2" t="s">
        <v>1988</v>
      </c>
      <c r="Q12" s="2" t="s">
        <v>2532</v>
      </c>
      <c r="R12" s="11" t="str">
        <f>HYPERLINK("http://slimages.macys.com/is/image/MCY/14516483 ")</f>
        <v xml:space="preserve">http://slimages.macys.com/is/image/MCY/14516483 </v>
      </c>
    </row>
    <row r="13" spans="1:18" ht="24.75" x14ac:dyDescent="0.25">
      <c r="A13" s="8" t="s">
        <v>1932</v>
      </c>
      <c r="B13" s="2" t="s">
        <v>1933</v>
      </c>
      <c r="C13" s="4">
        <v>1</v>
      </c>
      <c r="D13" s="6">
        <v>34.17</v>
      </c>
      <c r="E13" s="6">
        <v>34.17</v>
      </c>
      <c r="F13" s="9">
        <v>92.99</v>
      </c>
      <c r="G13" s="6">
        <v>92.99</v>
      </c>
      <c r="H13" s="4" t="s">
        <v>1934</v>
      </c>
      <c r="I13" s="2"/>
      <c r="J13" s="10"/>
      <c r="K13" s="6"/>
      <c r="L13" s="6"/>
      <c r="M13" s="2" t="s">
        <v>1970</v>
      </c>
      <c r="N13" s="2" t="s">
        <v>1986</v>
      </c>
      <c r="O13" s="2" t="s">
        <v>1987</v>
      </c>
      <c r="P13" s="2" t="s">
        <v>1988</v>
      </c>
      <c r="Q13" s="2" t="s">
        <v>1995</v>
      </c>
      <c r="R13" s="11" t="str">
        <f>HYPERLINK("http://slimages.macys.com/is/image/MCY/16484708 ")</f>
        <v xml:space="preserve">http://slimages.macys.com/is/image/MCY/16484708 </v>
      </c>
    </row>
    <row r="14" spans="1:18" ht="144.75" x14ac:dyDescent="0.25">
      <c r="A14" s="8" t="s">
        <v>1935</v>
      </c>
      <c r="B14" s="2" t="s">
        <v>1936</v>
      </c>
      <c r="C14" s="4">
        <v>1</v>
      </c>
      <c r="D14" s="6">
        <v>31.82</v>
      </c>
      <c r="E14" s="6">
        <v>31.82</v>
      </c>
      <c r="F14" s="9">
        <v>79.989999999999995</v>
      </c>
      <c r="G14" s="6">
        <v>79.989999999999995</v>
      </c>
      <c r="H14" s="4" t="s">
        <v>1937</v>
      </c>
      <c r="I14" s="2" t="s">
        <v>2162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1715</v>
      </c>
      <c r="R14" s="11" t="str">
        <f>HYPERLINK("http://slimages.macys.com/is/image/MCY/8927467 ")</f>
        <v xml:space="preserve">http://slimages.macys.com/is/image/MCY/8927467 </v>
      </c>
    </row>
    <row r="15" spans="1:18" ht="36.75" x14ac:dyDescent="0.25">
      <c r="A15" s="8" t="s">
        <v>1720</v>
      </c>
      <c r="B15" s="2" t="s">
        <v>1721</v>
      </c>
      <c r="C15" s="4">
        <v>1</v>
      </c>
      <c r="D15" s="6">
        <v>30.6</v>
      </c>
      <c r="E15" s="6">
        <v>30.6</v>
      </c>
      <c r="F15" s="9">
        <v>99.99</v>
      </c>
      <c r="G15" s="6">
        <v>99.99</v>
      </c>
      <c r="H15" s="4" t="s">
        <v>1722</v>
      </c>
      <c r="I15" s="2" t="s">
        <v>2017</v>
      </c>
      <c r="J15" s="10"/>
      <c r="K15" s="6"/>
      <c r="L15" s="6"/>
      <c r="M15" s="2" t="s">
        <v>1970</v>
      </c>
      <c r="N15" s="2" t="s">
        <v>1986</v>
      </c>
      <c r="O15" s="2" t="s">
        <v>2216</v>
      </c>
      <c r="P15" s="2" t="s">
        <v>1988</v>
      </c>
      <c r="Q15" s="2" t="s">
        <v>2245</v>
      </c>
      <c r="R15" s="11" t="str">
        <f>HYPERLINK("http://slimages.macys.com/is/image/MCY/10143141 ")</f>
        <v xml:space="preserve">http://slimages.macys.com/is/image/MCY/10143141 </v>
      </c>
    </row>
    <row r="16" spans="1:18" ht="24.75" x14ac:dyDescent="0.25">
      <c r="A16" s="8" t="s">
        <v>1938</v>
      </c>
      <c r="B16" s="2" t="s">
        <v>1939</v>
      </c>
      <c r="C16" s="4">
        <v>1</v>
      </c>
      <c r="D16" s="6">
        <v>25.7</v>
      </c>
      <c r="E16" s="6">
        <v>25.7</v>
      </c>
      <c r="F16" s="9">
        <v>99.99</v>
      </c>
      <c r="G16" s="6">
        <v>99.99</v>
      </c>
      <c r="H16" s="4" t="s">
        <v>1940</v>
      </c>
      <c r="I16" s="2" t="s">
        <v>2017</v>
      </c>
      <c r="J16" s="10"/>
      <c r="K16" s="6"/>
      <c r="L16" s="6"/>
      <c r="M16" s="2" t="s">
        <v>1970</v>
      </c>
      <c r="N16" s="2" t="s">
        <v>2846</v>
      </c>
      <c r="O16" s="2" t="s">
        <v>2847</v>
      </c>
      <c r="P16" s="2" t="s">
        <v>1988</v>
      </c>
      <c r="Q16" s="2" t="s">
        <v>1941</v>
      </c>
      <c r="R16" s="11" t="str">
        <f>HYPERLINK("http://slimages.macys.com/is/image/MCY/9936587 ")</f>
        <v xml:space="preserve">http://slimages.macys.com/is/image/MCY/9936587 </v>
      </c>
    </row>
    <row r="17" spans="1:18" ht="36.75" x14ac:dyDescent="0.25">
      <c r="A17" s="8" t="s">
        <v>1942</v>
      </c>
      <c r="B17" s="2" t="s">
        <v>1943</v>
      </c>
      <c r="C17" s="4">
        <v>1</v>
      </c>
      <c r="D17" s="6">
        <v>21.27</v>
      </c>
      <c r="E17" s="6">
        <v>21.27</v>
      </c>
      <c r="F17" s="9">
        <v>44.99</v>
      </c>
      <c r="G17" s="6">
        <v>44.99</v>
      </c>
      <c r="H17" s="4" t="s">
        <v>1944</v>
      </c>
      <c r="I17" s="2" t="s">
        <v>1993</v>
      </c>
      <c r="J17" s="10"/>
      <c r="K17" s="6"/>
      <c r="L17" s="6"/>
      <c r="M17" s="2" t="s">
        <v>1970</v>
      </c>
      <c r="N17" s="2" t="s">
        <v>2012</v>
      </c>
      <c r="O17" s="2" t="s">
        <v>1987</v>
      </c>
      <c r="P17" s="2" t="s">
        <v>1988</v>
      </c>
      <c r="Q17" s="2" t="s">
        <v>1945</v>
      </c>
      <c r="R17" s="11" t="str">
        <f>HYPERLINK("http://slimages.macys.com/is/image/MCY/9775066 ")</f>
        <v xml:space="preserve">http://slimages.macys.com/is/image/MCY/9775066 </v>
      </c>
    </row>
    <row r="18" spans="1:18" ht="24.75" x14ac:dyDescent="0.25">
      <c r="A18" s="8" t="s">
        <v>1946</v>
      </c>
      <c r="B18" s="2" t="s">
        <v>1947</v>
      </c>
      <c r="C18" s="4">
        <v>1</v>
      </c>
      <c r="D18" s="6">
        <v>19.829999999999998</v>
      </c>
      <c r="E18" s="6">
        <v>19.829999999999998</v>
      </c>
      <c r="F18" s="9">
        <v>49.99</v>
      </c>
      <c r="G18" s="6">
        <v>49.99</v>
      </c>
      <c r="H18" s="4" t="s">
        <v>1948</v>
      </c>
      <c r="I18" s="2" t="s">
        <v>2026</v>
      </c>
      <c r="J18" s="10" t="s">
        <v>2497</v>
      </c>
      <c r="K18" s="6"/>
      <c r="L18" s="6"/>
      <c r="M18" s="2" t="s">
        <v>1970</v>
      </c>
      <c r="N18" s="2" t="s">
        <v>2005</v>
      </c>
      <c r="O18" s="2" t="s">
        <v>2038</v>
      </c>
      <c r="P18" s="2" t="s">
        <v>2039</v>
      </c>
      <c r="Q18" s="2" t="s">
        <v>1995</v>
      </c>
      <c r="R18" s="11" t="str">
        <f>HYPERLINK("http://slimages.macys.com/is/image/MCY/11798158 ")</f>
        <v xml:space="preserve">http://slimages.macys.com/is/image/MCY/11798158 </v>
      </c>
    </row>
    <row r="19" spans="1:18" ht="24.75" x14ac:dyDescent="0.25">
      <c r="A19" s="8" t="s">
        <v>1949</v>
      </c>
      <c r="B19" s="2" t="s">
        <v>1950</v>
      </c>
      <c r="C19" s="4">
        <v>1</v>
      </c>
      <c r="D19" s="6">
        <v>21.99</v>
      </c>
      <c r="E19" s="6">
        <v>21.99</v>
      </c>
      <c r="F19" s="9">
        <v>79.989999999999995</v>
      </c>
      <c r="G19" s="6">
        <v>79.989999999999995</v>
      </c>
      <c r="H19" s="4" t="s">
        <v>1951</v>
      </c>
      <c r="I19" s="2" t="s">
        <v>2120</v>
      </c>
      <c r="J19" s="10"/>
      <c r="K19" s="6"/>
      <c r="L19" s="6"/>
      <c r="M19" s="2" t="s">
        <v>1970</v>
      </c>
      <c r="N19" s="2" t="s">
        <v>2846</v>
      </c>
      <c r="O19" s="2" t="s">
        <v>2847</v>
      </c>
      <c r="P19" s="2" t="s">
        <v>2933</v>
      </c>
      <c r="Q19" s="2" t="s">
        <v>1952</v>
      </c>
      <c r="R19" s="11" t="str">
        <f>HYPERLINK("http://slimages.macys.com/is/image/MCY/9935614 ")</f>
        <v xml:space="preserve">http://slimages.macys.com/is/image/MCY/9935614 </v>
      </c>
    </row>
    <row r="20" spans="1:18" ht="24.75" x14ac:dyDescent="0.25">
      <c r="A20" s="8" t="s">
        <v>1953</v>
      </c>
      <c r="B20" s="2" t="s">
        <v>1954</v>
      </c>
      <c r="C20" s="4">
        <v>1</v>
      </c>
      <c r="D20" s="6">
        <v>15.88</v>
      </c>
      <c r="E20" s="6">
        <v>15.88</v>
      </c>
      <c r="F20" s="9">
        <v>32.99</v>
      </c>
      <c r="G20" s="6">
        <v>32.99</v>
      </c>
      <c r="H20" s="4" t="s">
        <v>1955</v>
      </c>
      <c r="I20" s="2"/>
      <c r="J20" s="10"/>
      <c r="K20" s="6"/>
      <c r="L20" s="6"/>
      <c r="M20" s="2" t="s">
        <v>1970</v>
      </c>
      <c r="N20" s="2" t="s">
        <v>1986</v>
      </c>
      <c r="O20" s="2" t="s">
        <v>1208</v>
      </c>
      <c r="P20" s="2" t="s">
        <v>1988</v>
      </c>
      <c r="Q20" s="2" t="s">
        <v>1995</v>
      </c>
      <c r="R20" s="11" t="str">
        <f>HYPERLINK("http://slimages.macys.com/is/image/MCY/12325629 ")</f>
        <v xml:space="preserve">http://slimages.macys.com/is/image/MCY/12325629 </v>
      </c>
    </row>
    <row r="21" spans="1:18" ht="24.75" x14ac:dyDescent="0.25">
      <c r="A21" s="8" t="s">
        <v>1956</v>
      </c>
      <c r="B21" s="2" t="s">
        <v>1957</v>
      </c>
      <c r="C21" s="4">
        <v>1</v>
      </c>
      <c r="D21" s="6">
        <v>15.33</v>
      </c>
      <c r="E21" s="6">
        <v>15.33</v>
      </c>
      <c r="F21" s="9">
        <v>48.99</v>
      </c>
      <c r="G21" s="6">
        <v>48.99</v>
      </c>
      <c r="H21" s="4" t="s">
        <v>0</v>
      </c>
      <c r="I21" s="2"/>
      <c r="J21" s="10"/>
      <c r="K21" s="6"/>
      <c r="L21" s="6"/>
      <c r="M21" s="2" t="s">
        <v>1970</v>
      </c>
      <c r="N21" s="2" t="s">
        <v>1986</v>
      </c>
      <c r="O21" s="2" t="s">
        <v>2044</v>
      </c>
      <c r="P21" s="2" t="s">
        <v>1988</v>
      </c>
      <c r="Q21" s="2" t="s">
        <v>2310</v>
      </c>
      <c r="R21" s="11" t="str">
        <f>HYPERLINK("http://slimages.macys.com/is/image/MCY/10974209 ")</f>
        <v xml:space="preserve">http://slimages.macys.com/is/image/MCY/10974209 </v>
      </c>
    </row>
    <row r="22" spans="1:18" ht="24.75" x14ac:dyDescent="0.25">
      <c r="A22" s="8" t="s">
        <v>1</v>
      </c>
      <c r="B22" s="2" t="s">
        <v>2</v>
      </c>
      <c r="C22" s="4">
        <v>1</v>
      </c>
      <c r="D22" s="6">
        <v>12.83</v>
      </c>
      <c r="E22" s="6">
        <v>12.83</v>
      </c>
      <c r="F22" s="9">
        <v>35.99</v>
      </c>
      <c r="G22" s="6">
        <v>35.99</v>
      </c>
      <c r="H22" s="4">
        <v>70096</v>
      </c>
      <c r="I22" s="2" t="s">
        <v>2026</v>
      </c>
      <c r="J22" s="10" t="s">
        <v>2037</v>
      </c>
      <c r="K22" s="6"/>
      <c r="L22" s="6"/>
      <c r="M22" s="2" t="s">
        <v>1970</v>
      </c>
      <c r="N22" s="2" t="s">
        <v>2005</v>
      </c>
      <c r="O22" s="2" t="s">
        <v>2098</v>
      </c>
      <c r="P22" s="2" t="s">
        <v>1988</v>
      </c>
      <c r="Q22" s="2" t="s">
        <v>1995</v>
      </c>
      <c r="R22" s="11" t="str">
        <f>HYPERLINK("http://slimages.macys.com/is/image/MCY/15617683 ")</f>
        <v xml:space="preserve">http://slimages.macys.com/is/image/MCY/15617683 </v>
      </c>
    </row>
    <row r="23" spans="1:18" ht="24.75" x14ac:dyDescent="0.25">
      <c r="A23" s="8" t="s">
        <v>3</v>
      </c>
      <c r="B23" s="2" t="s">
        <v>4</v>
      </c>
      <c r="C23" s="4">
        <v>1</v>
      </c>
      <c r="D23" s="6">
        <v>12.03</v>
      </c>
      <c r="E23" s="6">
        <v>12.03</v>
      </c>
      <c r="F23" s="9">
        <v>26.99</v>
      </c>
      <c r="G23" s="6">
        <v>26.99</v>
      </c>
      <c r="H23" s="4" t="s">
        <v>5</v>
      </c>
      <c r="I23" s="2" t="s">
        <v>2017</v>
      </c>
      <c r="J23" s="10" t="s">
        <v>6</v>
      </c>
      <c r="K23" s="6"/>
      <c r="L23" s="6"/>
      <c r="M23" s="2" t="s">
        <v>1970</v>
      </c>
      <c r="N23" s="2" t="s">
        <v>2184</v>
      </c>
      <c r="O23" s="2" t="s">
        <v>1987</v>
      </c>
      <c r="P23" s="2" t="s">
        <v>1988</v>
      </c>
      <c r="Q23" s="2" t="s">
        <v>7</v>
      </c>
      <c r="R23" s="11" t="str">
        <f>HYPERLINK("http://slimages.macys.com/is/image/MCY/10082379 ")</f>
        <v xml:space="preserve">http://slimages.macys.com/is/image/MCY/10082379 </v>
      </c>
    </row>
    <row r="24" spans="1:18" ht="24.75" x14ac:dyDescent="0.25">
      <c r="A24" s="8" t="s">
        <v>8</v>
      </c>
      <c r="B24" s="2" t="s">
        <v>9</v>
      </c>
      <c r="C24" s="4">
        <v>1</v>
      </c>
      <c r="D24" s="6">
        <v>14.19</v>
      </c>
      <c r="E24" s="6">
        <v>14.19</v>
      </c>
      <c r="F24" s="9">
        <v>49.99</v>
      </c>
      <c r="G24" s="6">
        <v>49.99</v>
      </c>
      <c r="H24" s="4" t="s">
        <v>10</v>
      </c>
      <c r="I24" s="2" t="s">
        <v>2603</v>
      </c>
      <c r="J24" s="10"/>
      <c r="K24" s="6"/>
      <c r="L24" s="6"/>
      <c r="M24" s="2" t="s">
        <v>1970</v>
      </c>
      <c r="N24" s="2" t="s">
        <v>2386</v>
      </c>
      <c r="O24" s="2" t="s">
        <v>2387</v>
      </c>
      <c r="P24" s="2" t="s">
        <v>1988</v>
      </c>
      <c r="Q24" s="2"/>
      <c r="R24" s="11" t="str">
        <f>HYPERLINK("http://slimages.macys.com/is/image/MCY/15105824 ")</f>
        <v xml:space="preserve">http://slimages.macys.com/is/image/MCY/15105824 </v>
      </c>
    </row>
    <row r="25" spans="1:18" ht="24.75" x14ac:dyDescent="0.25">
      <c r="A25" s="8" t="s">
        <v>11</v>
      </c>
      <c r="B25" s="2" t="s">
        <v>12</v>
      </c>
      <c r="C25" s="4">
        <v>1</v>
      </c>
      <c r="D25" s="6">
        <v>14.18</v>
      </c>
      <c r="E25" s="6">
        <v>14.18</v>
      </c>
      <c r="F25" s="9">
        <v>39.99</v>
      </c>
      <c r="G25" s="6">
        <v>39.99</v>
      </c>
      <c r="H25" s="4" t="s">
        <v>13</v>
      </c>
      <c r="I25" s="2" t="s">
        <v>2424</v>
      </c>
      <c r="J25" s="10"/>
      <c r="K25" s="6"/>
      <c r="L25" s="6"/>
      <c r="M25" s="2" t="s">
        <v>1970</v>
      </c>
      <c r="N25" s="2" t="s">
        <v>2167</v>
      </c>
      <c r="O25" s="2" t="s">
        <v>2443</v>
      </c>
      <c r="P25" s="2" t="s">
        <v>1988</v>
      </c>
      <c r="Q25" s="2" t="s">
        <v>1617</v>
      </c>
      <c r="R25" s="11" t="str">
        <f>HYPERLINK("http://slimages.macys.com/is/image/MCY/8484844 ")</f>
        <v xml:space="preserve">http://slimages.macys.com/is/image/MCY/8484844 </v>
      </c>
    </row>
    <row r="26" spans="1:18" ht="96.75" x14ac:dyDescent="0.25">
      <c r="A26" s="8" t="s">
        <v>14</v>
      </c>
      <c r="B26" s="2" t="s">
        <v>15</v>
      </c>
      <c r="C26" s="4">
        <v>1</v>
      </c>
      <c r="D26" s="6">
        <v>11.16</v>
      </c>
      <c r="E26" s="6">
        <v>11.16</v>
      </c>
      <c r="F26" s="9">
        <v>24.99</v>
      </c>
      <c r="G26" s="6">
        <v>24.99</v>
      </c>
      <c r="H26" s="4" t="s">
        <v>16</v>
      </c>
      <c r="I26" s="2" t="s">
        <v>2120</v>
      </c>
      <c r="J26" s="10" t="s">
        <v>2072</v>
      </c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17</v>
      </c>
      <c r="R26" s="11" t="str">
        <f>HYPERLINK("http://slimages.macys.com/is/image/MCY/9602403 ")</f>
        <v xml:space="preserve">http://slimages.macys.com/is/image/MCY/9602403 </v>
      </c>
    </row>
    <row r="27" spans="1:18" ht="24.75" x14ac:dyDescent="0.25">
      <c r="A27" s="8" t="s">
        <v>18</v>
      </c>
      <c r="B27" s="2" t="s">
        <v>19</v>
      </c>
      <c r="C27" s="4">
        <v>3</v>
      </c>
      <c r="D27" s="6">
        <v>11.7</v>
      </c>
      <c r="E27" s="6">
        <v>35.1</v>
      </c>
      <c r="F27" s="9">
        <v>39.99</v>
      </c>
      <c r="G27" s="6">
        <v>119.97</v>
      </c>
      <c r="H27" s="4" t="s">
        <v>20</v>
      </c>
      <c r="I27" s="2" t="s">
        <v>2937</v>
      </c>
      <c r="J27" s="10"/>
      <c r="K27" s="6"/>
      <c r="L27" s="6"/>
      <c r="M27" s="2" t="s">
        <v>1970</v>
      </c>
      <c r="N27" s="2" t="s">
        <v>2386</v>
      </c>
      <c r="O27" s="2" t="s">
        <v>2932</v>
      </c>
      <c r="P27" s="2" t="s">
        <v>1988</v>
      </c>
      <c r="Q27" s="2"/>
      <c r="R27" s="11" t="str">
        <f>HYPERLINK("http://slimages.macys.com/is/image/MCY/11783220 ")</f>
        <v xml:space="preserve">http://slimages.macys.com/is/image/MCY/11783220 </v>
      </c>
    </row>
    <row r="28" spans="1:18" ht="24.75" x14ac:dyDescent="0.25">
      <c r="A28" s="8" t="s">
        <v>21</v>
      </c>
      <c r="B28" s="2" t="s">
        <v>22</v>
      </c>
      <c r="C28" s="4">
        <v>1</v>
      </c>
      <c r="D28" s="6">
        <v>9.09</v>
      </c>
      <c r="E28" s="6">
        <v>9.09</v>
      </c>
      <c r="F28" s="9">
        <v>21.99</v>
      </c>
      <c r="G28" s="6">
        <v>21.99</v>
      </c>
      <c r="H28" s="4" t="s">
        <v>23</v>
      </c>
      <c r="I28" s="2" t="s">
        <v>2261</v>
      </c>
      <c r="J28" s="10" t="s">
        <v>2326</v>
      </c>
      <c r="K28" s="6"/>
      <c r="L28" s="6"/>
      <c r="M28" s="2" t="s">
        <v>1970</v>
      </c>
      <c r="N28" s="2" t="s">
        <v>2093</v>
      </c>
      <c r="O28" s="2" t="s">
        <v>2094</v>
      </c>
      <c r="P28" s="2" t="s">
        <v>1988</v>
      </c>
      <c r="Q28" s="2" t="s">
        <v>2305</v>
      </c>
      <c r="R28" s="11" t="str">
        <f>HYPERLINK("http://slimages.macys.com/is/image/MCY/1119570 ")</f>
        <v xml:space="preserve">http://slimages.macys.com/is/image/MCY/1119570 </v>
      </c>
    </row>
    <row r="29" spans="1:18" ht="24.75" x14ac:dyDescent="0.25">
      <c r="A29" s="8" t="s">
        <v>1412</v>
      </c>
      <c r="B29" s="2" t="s">
        <v>24</v>
      </c>
      <c r="C29" s="4">
        <v>2</v>
      </c>
      <c r="D29" s="6">
        <v>11.04</v>
      </c>
      <c r="E29" s="6">
        <v>22.08</v>
      </c>
      <c r="F29" s="9">
        <v>49.99</v>
      </c>
      <c r="G29" s="6">
        <v>99.98</v>
      </c>
      <c r="H29" s="4" t="s">
        <v>1414</v>
      </c>
      <c r="I29" s="2" t="s">
        <v>2120</v>
      </c>
      <c r="J29" s="10"/>
      <c r="K29" s="6"/>
      <c r="L29" s="6"/>
      <c r="M29" s="2" t="s">
        <v>1970</v>
      </c>
      <c r="N29" s="2" t="s">
        <v>2946</v>
      </c>
      <c r="O29" s="2" t="s">
        <v>2947</v>
      </c>
      <c r="P29" s="2" t="s">
        <v>1988</v>
      </c>
      <c r="Q29" s="2" t="s">
        <v>1255</v>
      </c>
      <c r="R29" s="11" t="str">
        <f>HYPERLINK("http://slimages.macys.com/is/image/MCY/11640333 ")</f>
        <v xml:space="preserve">http://slimages.macys.com/is/image/MCY/11640333 </v>
      </c>
    </row>
    <row r="30" spans="1:18" ht="24.75" x14ac:dyDescent="0.25">
      <c r="A30" s="8" t="s">
        <v>25</v>
      </c>
      <c r="B30" s="2" t="s">
        <v>26</v>
      </c>
      <c r="C30" s="4">
        <v>3</v>
      </c>
      <c r="D30" s="6">
        <v>9</v>
      </c>
      <c r="E30" s="6">
        <v>27</v>
      </c>
      <c r="F30" s="9">
        <v>19.989999999999998</v>
      </c>
      <c r="G30" s="6">
        <v>59.97</v>
      </c>
      <c r="H30" s="4" t="s">
        <v>1420</v>
      </c>
      <c r="I30" s="2" t="s">
        <v>2536</v>
      </c>
      <c r="J30" s="10"/>
      <c r="K30" s="6"/>
      <c r="L30" s="6"/>
      <c r="M30" s="2" t="s">
        <v>1970</v>
      </c>
      <c r="N30" s="2" t="s">
        <v>2012</v>
      </c>
      <c r="O30" s="2" t="s">
        <v>2203</v>
      </c>
      <c r="P30" s="2" t="s">
        <v>1988</v>
      </c>
      <c r="Q30" s="2" t="s">
        <v>1995</v>
      </c>
      <c r="R30" s="11" t="str">
        <f>HYPERLINK("http://slimages.macys.com/is/image/MCY/8759583 ")</f>
        <v xml:space="preserve">http://slimages.macys.com/is/image/MCY/8759583 </v>
      </c>
    </row>
    <row r="31" spans="1:18" ht="24.75" x14ac:dyDescent="0.25">
      <c r="A31" s="8" t="s">
        <v>27</v>
      </c>
      <c r="B31" s="2" t="s">
        <v>28</v>
      </c>
      <c r="C31" s="4">
        <v>2</v>
      </c>
      <c r="D31" s="6">
        <v>8.93</v>
      </c>
      <c r="E31" s="6">
        <v>17.86</v>
      </c>
      <c r="F31" s="9">
        <v>19.989999999999998</v>
      </c>
      <c r="G31" s="6">
        <v>39.979999999999997</v>
      </c>
      <c r="H31" s="4" t="s">
        <v>29</v>
      </c>
      <c r="I31" s="2" t="s">
        <v>1993</v>
      </c>
      <c r="J31" s="10"/>
      <c r="K31" s="6"/>
      <c r="L31" s="6"/>
      <c r="M31" s="2" t="s">
        <v>1970</v>
      </c>
      <c r="N31" s="2" t="s">
        <v>2012</v>
      </c>
      <c r="O31" s="2" t="s">
        <v>1987</v>
      </c>
      <c r="P31" s="2" t="s">
        <v>1988</v>
      </c>
      <c r="Q31" s="2"/>
      <c r="R31" s="11" t="str">
        <f>HYPERLINK("http://slimages.macys.com/is/image/MCY/9927294 ")</f>
        <v xml:space="preserve">http://slimages.macys.com/is/image/MCY/9927294 </v>
      </c>
    </row>
    <row r="32" spans="1:18" ht="24.75" x14ac:dyDescent="0.25">
      <c r="A32" s="8" t="s">
        <v>2470</v>
      </c>
      <c r="B32" s="2" t="s">
        <v>2471</v>
      </c>
      <c r="C32" s="4">
        <v>4</v>
      </c>
      <c r="D32" s="6">
        <v>8.48</v>
      </c>
      <c r="E32" s="6">
        <v>33.92</v>
      </c>
      <c r="F32" s="9">
        <v>17.989999999999998</v>
      </c>
      <c r="G32" s="6">
        <v>71.959999999999994</v>
      </c>
      <c r="H32" s="4">
        <v>37355</v>
      </c>
      <c r="I32" s="2" t="s">
        <v>2026</v>
      </c>
      <c r="J32" s="10" t="s">
        <v>2472</v>
      </c>
      <c r="K32" s="6"/>
      <c r="L32" s="6"/>
      <c r="M32" s="2" t="s">
        <v>1970</v>
      </c>
      <c r="N32" s="2" t="s">
        <v>2012</v>
      </c>
      <c r="O32" s="2" t="s">
        <v>2203</v>
      </c>
      <c r="P32" s="2" t="s">
        <v>1988</v>
      </c>
      <c r="Q32" s="2" t="s">
        <v>1995</v>
      </c>
      <c r="R32" s="11" t="str">
        <f>HYPERLINK("http://slimages.macys.com/is/image/MCY/10009173 ")</f>
        <v xml:space="preserve">http://slimages.macys.com/is/image/MCY/10009173 </v>
      </c>
    </row>
    <row r="33" spans="1:18" ht="24.75" x14ac:dyDescent="0.25">
      <c r="A33" s="8" t="s">
        <v>1762</v>
      </c>
      <c r="B33" s="2" t="s">
        <v>1763</v>
      </c>
      <c r="C33" s="4">
        <v>1</v>
      </c>
      <c r="D33" s="6">
        <v>8.48</v>
      </c>
      <c r="E33" s="6">
        <v>8.48</v>
      </c>
      <c r="F33" s="9">
        <v>17.989999999999998</v>
      </c>
      <c r="G33" s="6">
        <v>17.989999999999998</v>
      </c>
      <c r="H33" s="4">
        <v>43342</v>
      </c>
      <c r="I33" s="2" t="s">
        <v>2200</v>
      </c>
      <c r="J33" s="10" t="s">
        <v>2472</v>
      </c>
      <c r="K33" s="6"/>
      <c r="L33" s="6"/>
      <c r="M33" s="2" t="s">
        <v>1970</v>
      </c>
      <c r="N33" s="2" t="s">
        <v>2012</v>
      </c>
      <c r="O33" s="2" t="s">
        <v>2203</v>
      </c>
      <c r="P33" s="2" t="s">
        <v>1988</v>
      </c>
      <c r="Q33" s="2" t="s">
        <v>1995</v>
      </c>
      <c r="R33" s="11" t="str">
        <f>HYPERLINK("http://slimages.macys.com/is/image/MCY/10009173 ")</f>
        <v xml:space="preserve">http://slimages.macys.com/is/image/MCY/10009173 </v>
      </c>
    </row>
    <row r="34" spans="1:18" ht="24.75" x14ac:dyDescent="0.25">
      <c r="A34" s="8" t="s">
        <v>30</v>
      </c>
      <c r="B34" s="2" t="s">
        <v>31</v>
      </c>
      <c r="C34" s="4">
        <v>6</v>
      </c>
      <c r="D34" s="6">
        <v>9.4600000000000009</v>
      </c>
      <c r="E34" s="6">
        <v>56.76</v>
      </c>
      <c r="F34" s="9">
        <v>34.99</v>
      </c>
      <c r="G34" s="6">
        <v>209.94</v>
      </c>
      <c r="H34" s="4" t="s">
        <v>32</v>
      </c>
      <c r="I34" s="2" t="s">
        <v>2603</v>
      </c>
      <c r="J34" s="10"/>
      <c r="K34" s="6"/>
      <c r="L34" s="6"/>
      <c r="M34" s="2" t="s">
        <v>1970</v>
      </c>
      <c r="N34" s="2" t="s">
        <v>2386</v>
      </c>
      <c r="O34" s="2" t="s">
        <v>2387</v>
      </c>
      <c r="P34" s="2" t="s">
        <v>1988</v>
      </c>
      <c r="Q34" s="2" t="s">
        <v>1995</v>
      </c>
      <c r="R34" s="11" t="str">
        <f>HYPERLINK("http://slimages.macys.com/is/image/MCY/14601403 ")</f>
        <v xml:space="preserve">http://slimages.macys.com/is/image/MCY/14601403 </v>
      </c>
    </row>
    <row r="35" spans="1:18" ht="24.75" x14ac:dyDescent="0.25">
      <c r="A35" s="8" t="s">
        <v>33</v>
      </c>
      <c r="B35" s="2" t="s">
        <v>34</v>
      </c>
      <c r="C35" s="4">
        <v>1</v>
      </c>
      <c r="D35" s="6">
        <v>7.65</v>
      </c>
      <c r="E35" s="6">
        <v>7.65</v>
      </c>
      <c r="F35" s="9">
        <v>21.99</v>
      </c>
      <c r="G35" s="6">
        <v>21.99</v>
      </c>
      <c r="H35" s="4">
        <v>21000</v>
      </c>
      <c r="I35" s="2" t="s">
        <v>2026</v>
      </c>
      <c r="J35" s="10"/>
      <c r="K35" s="6"/>
      <c r="L35" s="6"/>
      <c r="M35" s="2" t="s">
        <v>1970</v>
      </c>
      <c r="N35" s="2" t="s">
        <v>2005</v>
      </c>
      <c r="O35" s="2" t="s">
        <v>2098</v>
      </c>
      <c r="P35" s="2" t="s">
        <v>1988</v>
      </c>
      <c r="Q35" s="2" t="s">
        <v>35</v>
      </c>
      <c r="R35" s="11" t="str">
        <f>HYPERLINK("http://slimages.macys.com/is/image/MCY/14467172 ")</f>
        <v xml:space="preserve">http://slimages.macys.com/is/image/MCY/14467172 </v>
      </c>
    </row>
    <row r="36" spans="1:18" ht="24.75" x14ac:dyDescent="0.25">
      <c r="A36" s="8" t="s">
        <v>36</v>
      </c>
      <c r="B36" s="2" t="s">
        <v>37</v>
      </c>
      <c r="C36" s="4">
        <v>2</v>
      </c>
      <c r="D36" s="6">
        <v>8.6999999999999993</v>
      </c>
      <c r="E36" s="6">
        <v>17.399999999999999</v>
      </c>
      <c r="F36" s="9">
        <v>29.99</v>
      </c>
      <c r="G36" s="6">
        <v>59.98</v>
      </c>
      <c r="H36" s="4" t="s">
        <v>38</v>
      </c>
      <c r="I36" s="2" t="s">
        <v>2071</v>
      </c>
      <c r="J36" s="10"/>
      <c r="K36" s="6"/>
      <c r="L36" s="6"/>
      <c r="M36" s="2" t="s">
        <v>1970</v>
      </c>
      <c r="N36" s="2" t="s">
        <v>2386</v>
      </c>
      <c r="O36" s="2" t="s">
        <v>2932</v>
      </c>
      <c r="P36" s="2" t="s">
        <v>1988</v>
      </c>
      <c r="Q36" s="2"/>
      <c r="R36" s="11" t="str">
        <f>HYPERLINK("http://slimages.macys.com/is/image/MCY/8707771 ")</f>
        <v xml:space="preserve">http://slimages.macys.com/is/image/MCY/8707771 </v>
      </c>
    </row>
    <row r="37" spans="1:18" ht="24.75" x14ac:dyDescent="0.25">
      <c r="A37" s="8" t="s">
        <v>39</v>
      </c>
      <c r="B37" s="2" t="s">
        <v>40</v>
      </c>
      <c r="C37" s="4">
        <v>1</v>
      </c>
      <c r="D37" s="6">
        <v>8.23</v>
      </c>
      <c r="E37" s="6">
        <v>8.23</v>
      </c>
      <c r="F37" s="9">
        <v>39.99</v>
      </c>
      <c r="G37" s="6">
        <v>39.99</v>
      </c>
      <c r="H37" s="4" t="s">
        <v>41</v>
      </c>
      <c r="I37" s="2" t="s">
        <v>2120</v>
      </c>
      <c r="J37" s="10"/>
      <c r="K37" s="6"/>
      <c r="L37" s="6"/>
      <c r="M37" s="2" t="s">
        <v>1970</v>
      </c>
      <c r="N37" s="2" t="s">
        <v>2846</v>
      </c>
      <c r="O37" s="2" t="s">
        <v>2847</v>
      </c>
      <c r="P37" s="2" t="s">
        <v>2933</v>
      </c>
      <c r="Q37" s="2" t="s">
        <v>42</v>
      </c>
      <c r="R37" s="11" t="str">
        <f>HYPERLINK("http://slimages.macys.com/is/image/MCY/9936545 ")</f>
        <v xml:space="preserve">http://slimages.macys.com/is/image/MCY/9936545 </v>
      </c>
    </row>
    <row r="38" spans="1:18" ht="24.75" x14ac:dyDescent="0.25">
      <c r="A38" s="8" t="s">
        <v>43</v>
      </c>
      <c r="B38" s="2" t="s">
        <v>44</v>
      </c>
      <c r="C38" s="4">
        <v>1</v>
      </c>
      <c r="D38" s="6">
        <v>7.65</v>
      </c>
      <c r="E38" s="6">
        <v>7.65</v>
      </c>
      <c r="F38" s="9">
        <v>22.99</v>
      </c>
      <c r="G38" s="6">
        <v>22.99</v>
      </c>
      <c r="H38" s="4" t="s">
        <v>45</v>
      </c>
      <c r="I38" s="2" t="s">
        <v>2026</v>
      </c>
      <c r="J38" s="10"/>
      <c r="K38" s="6"/>
      <c r="L38" s="6"/>
      <c r="M38" s="2" t="s">
        <v>1970</v>
      </c>
      <c r="N38" s="2" t="s">
        <v>1986</v>
      </c>
      <c r="O38" s="2" t="s">
        <v>46</v>
      </c>
      <c r="P38" s="2" t="s">
        <v>1988</v>
      </c>
      <c r="Q38" s="2" t="s">
        <v>1995</v>
      </c>
      <c r="R38" s="11" t="str">
        <f>HYPERLINK("http://slimages.macys.com/is/image/MCY/10181919 ")</f>
        <v xml:space="preserve">http://slimages.macys.com/is/image/MCY/10181919 </v>
      </c>
    </row>
    <row r="39" spans="1:18" ht="24.75" x14ac:dyDescent="0.25">
      <c r="A39" s="8" t="s">
        <v>47</v>
      </c>
      <c r="B39" s="2" t="s">
        <v>48</v>
      </c>
      <c r="C39" s="4">
        <v>1</v>
      </c>
      <c r="D39" s="6">
        <v>6.82</v>
      </c>
      <c r="E39" s="6">
        <v>6.82</v>
      </c>
      <c r="F39" s="9">
        <v>29.99</v>
      </c>
      <c r="G39" s="6">
        <v>29.99</v>
      </c>
      <c r="H39" s="4" t="s">
        <v>49</v>
      </c>
      <c r="I39" s="2" t="s">
        <v>1315</v>
      </c>
      <c r="J39" s="10"/>
      <c r="K39" s="6"/>
      <c r="L39" s="6"/>
      <c r="M39" s="2" t="s">
        <v>1970</v>
      </c>
      <c r="N39" s="2" t="s">
        <v>2167</v>
      </c>
      <c r="O39" s="2" t="s">
        <v>2443</v>
      </c>
      <c r="P39" s="2" t="s">
        <v>1988</v>
      </c>
      <c r="Q39" s="2"/>
      <c r="R39" s="11" t="str">
        <f>HYPERLINK("http://slimages.macys.com/is/image/MCY/8614362 ")</f>
        <v xml:space="preserve">http://slimages.macys.com/is/image/MCY/8614362 </v>
      </c>
    </row>
    <row r="40" spans="1:18" ht="24.75" x14ac:dyDescent="0.25">
      <c r="A40" s="8" t="s">
        <v>50</v>
      </c>
      <c r="B40" s="2" t="s">
        <v>51</v>
      </c>
      <c r="C40" s="4">
        <v>2</v>
      </c>
      <c r="D40" s="6">
        <v>5.74</v>
      </c>
      <c r="E40" s="6">
        <v>11.48</v>
      </c>
      <c r="F40" s="9">
        <v>20.99</v>
      </c>
      <c r="G40" s="6">
        <v>41.98</v>
      </c>
      <c r="H40" s="4" t="s">
        <v>52</v>
      </c>
      <c r="I40" s="2" t="s">
        <v>2017</v>
      </c>
      <c r="J40" s="10" t="s">
        <v>2826</v>
      </c>
      <c r="K40" s="6"/>
      <c r="L40" s="6"/>
      <c r="M40" s="2" t="s">
        <v>1970</v>
      </c>
      <c r="N40" s="2" t="s">
        <v>2012</v>
      </c>
      <c r="O40" s="2" t="s">
        <v>2062</v>
      </c>
      <c r="P40" s="2" t="s">
        <v>1988</v>
      </c>
      <c r="Q40" s="2" t="s">
        <v>2063</v>
      </c>
      <c r="R40" s="11" t="str">
        <f>HYPERLINK("http://slimages.macys.com/is/image/MCY/12265709 ")</f>
        <v xml:space="preserve">http://slimages.macys.com/is/image/MCY/12265709 </v>
      </c>
    </row>
    <row r="41" spans="1:18" ht="24.75" x14ac:dyDescent="0.25">
      <c r="A41" s="8" t="s">
        <v>53</v>
      </c>
      <c r="B41" s="2" t="s">
        <v>54</v>
      </c>
      <c r="C41" s="4">
        <v>1</v>
      </c>
      <c r="D41" s="6">
        <v>5.67</v>
      </c>
      <c r="E41" s="6">
        <v>5.67</v>
      </c>
      <c r="F41" s="9">
        <v>16.989999999999998</v>
      </c>
      <c r="G41" s="6">
        <v>16.989999999999998</v>
      </c>
      <c r="H41" s="4" t="s">
        <v>55</v>
      </c>
      <c r="I41" s="2" t="s">
        <v>2077</v>
      </c>
      <c r="J41" s="10"/>
      <c r="K41" s="6"/>
      <c r="L41" s="6"/>
      <c r="M41" s="2" t="s">
        <v>1970</v>
      </c>
      <c r="N41" s="2" t="s">
        <v>2012</v>
      </c>
      <c r="O41" s="2" t="s">
        <v>2088</v>
      </c>
      <c r="P41" s="2" t="s">
        <v>1988</v>
      </c>
      <c r="Q41" s="2" t="s">
        <v>1995</v>
      </c>
      <c r="R41" s="11" t="str">
        <f>HYPERLINK("http://slimages.macys.com/is/image/MCY/935272 ")</f>
        <v xml:space="preserve">http://slimages.macys.com/is/image/MCY/935272 </v>
      </c>
    </row>
    <row r="42" spans="1:18" ht="24.75" x14ac:dyDescent="0.25">
      <c r="A42" s="8" t="s">
        <v>56</v>
      </c>
      <c r="B42" s="2" t="s">
        <v>57</v>
      </c>
      <c r="C42" s="4">
        <v>4</v>
      </c>
      <c r="D42" s="6">
        <v>4.72</v>
      </c>
      <c r="E42" s="6">
        <v>18.88</v>
      </c>
      <c r="F42" s="9">
        <v>16.989999999999998</v>
      </c>
      <c r="G42" s="6">
        <v>67.959999999999994</v>
      </c>
      <c r="H42" s="4" t="s">
        <v>58</v>
      </c>
      <c r="I42" s="2" t="s">
        <v>1985</v>
      </c>
      <c r="J42" s="10"/>
      <c r="K42" s="6"/>
      <c r="L42" s="6"/>
      <c r="M42" s="2" t="s">
        <v>1970</v>
      </c>
      <c r="N42" s="2" t="s">
        <v>2012</v>
      </c>
      <c r="O42" s="2" t="s">
        <v>2062</v>
      </c>
      <c r="P42" s="2" t="s">
        <v>1988</v>
      </c>
      <c r="Q42" s="2" t="s">
        <v>2063</v>
      </c>
      <c r="R42" s="11" t="str">
        <f>HYPERLINK("http://slimages.macys.com/is/image/MCY/11495338 ")</f>
        <v xml:space="preserve">http://slimages.macys.com/is/image/MCY/11495338 </v>
      </c>
    </row>
    <row r="43" spans="1:18" ht="24.75" x14ac:dyDescent="0.25">
      <c r="A43" s="8" t="s">
        <v>59</v>
      </c>
      <c r="B43" s="2" t="s">
        <v>60</v>
      </c>
      <c r="C43" s="4">
        <v>1</v>
      </c>
      <c r="D43" s="6">
        <v>4.2</v>
      </c>
      <c r="E43" s="6">
        <v>4.2</v>
      </c>
      <c r="F43" s="9">
        <v>9.99</v>
      </c>
      <c r="G43" s="6">
        <v>9.99</v>
      </c>
      <c r="H43" s="4" t="s">
        <v>61</v>
      </c>
      <c r="I43" s="2" t="s">
        <v>2017</v>
      </c>
      <c r="J43" s="10" t="s">
        <v>2092</v>
      </c>
      <c r="K43" s="6"/>
      <c r="L43" s="6"/>
      <c r="M43" s="2" t="s">
        <v>1970</v>
      </c>
      <c r="N43" s="2" t="s">
        <v>2851</v>
      </c>
      <c r="O43" s="2" t="s">
        <v>2847</v>
      </c>
      <c r="P43" s="2" t="s">
        <v>1988</v>
      </c>
      <c r="Q43" s="2" t="s">
        <v>2095</v>
      </c>
      <c r="R43" s="11" t="str">
        <f>HYPERLINK("http://slimages.macys.com/is/image/MCY/9887555 ")</f>
        <v xml:space="preserve">http://slimages.macys.com/is/image/MCY/9887555 </v>
      </c>
    </row>
    <row r="44" spans="1:18" ht="24.75" x14ac:dyDescent="0.25">
      <c r="A44" s="8" t="s">
        <v>62</v>
      </c>
      <c r="B44" s="2" t="s">
        <v>63</v>
      </c>
      <c r="C44" s="4">
        <v>4</v>
      </c>
      <c r="D44" s="6">
        <v>3.47</v>
      </c>
      <c r="E44" s="6">
        <v>13.88</v>
      </c>
      <c r="F44" s="9">
        <v>12.99</v>
      </c>
      <c r="G44" s="6">
        <v>51.96</v>
      </c>
      <c r="H44" s="4">
        <v>1001228300</v>
      </c>
      <c r="I44" s="2" t="s">
        <v>2017</v>
      </c>
      <c r="J44" s="10" t="s">
        <v>2092</v>
      </c>
      <c r="K44" s="6"/>
      <c r="L44" s="6"/>
      <c r="M44" s="2" t="s">
        <v>1970</v>
      </c>
      <c r="N44" s="2" t="s">
        <v>2851</v>
      </c>
      <c r="O44" s="2" t="s">
        <v>2854</v>
      </c>
      <c r="P44" s="2" t="s">
        <v>1988</v>
      </c>
      <c r="Q44" s="2" t="s">
        <v>2305</v>
      </c>
      <c r="R44" s="11" t="str">
        <f>HYPERLINK("http://slimages.macys.com/is/image/MCY/13079193 ")</f>
        <v xml:space="preserve">http://slimages.macys.com/is/image/MCY/13079193 </v>
      </c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9"/>
  <sheetViews>
    <sheetView topLeftCell="A39" workbookViewId="0">
      <selection activeCell="I55" sqref="I55"/>
    </sheetView>
  </sheetViews>
  <sheetFormatPr defaultRowHeight="15" x14ac:dyDescent="0.25"/>
  <cols>
    <col min="1" max="1" width="14.28515625" customWidth="1"/>
    <col min="2" max="2" width="26.8554687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4.28515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64</v>
      </c>
      <c r="B2" s="2" t="s">
        <v>65</v>
      </c>
      <c r="C2" s="4">
        <v>1</v>
      </c>
      <c r="D2" s="6">
        <v>91</v>
      </c>
      <c r="E2" s="6">
        <v>91</v>
      </c>
      <c r="F2" s="9">
        <v>267.99</v>
      </c>
      <c r="G2" s="6">
        <v>267.99</v>
      </c>
      <c r="H2" s="4" t="s">
        <v>66</v>
      </c>
      <c r="I2" s="2" t="s">
        <v>954</v>
      </c>
      <c r="J2" s="10"/>
      <c r="K2" s="6"/>
      <c r="L2" s="6"/>
      <c r="M2" s="2" t="s">
        <v>1970</v>
      </c>
      <c r="N2" s="2" t="s">
        <v>1986</v>
      </c>
      <c r="O2" s="2" t="s">
        <v>2013</v>
      </c>
      <c r="P2" s="2" t="s">
        <v>1988</v>
      </c>
      <c r="Q2" s="2" t="s">
        <v>1995</v>
      </c>
      <c r="R2" s="11" t="str">
        <f>HYPERLINK("http://slimages.macys.com/is/image/MCY/12750376 ")</f>
        <v xml:space="preserve">http://slimages.macys.com/is/image/MCY/12750376 </v>
      </c>
    </row>
    <row r="3" spans="1:18" ht="24.75" x14ac:dyDescent="0.25">
      <c r="A3" s="8" t="s">
        <v>67</v>
      </c>
      <c r="B3" s="2" t="s">
        <v>68</v>
      </c>
      <c r="C3" s="4">
        <v>1</v>
      </c>
      <c r="D3" s="6">
        <v>39.69</v>
      </c>
      <c r="E3" s="6">
        <v>39.69</v>
      </c>
      <c r="F3" s="9">
        <v>88.99</v>
      </c>
      <c r="G3" s="6">
        <v>88.99</v>
      </c>
      <c r="H3" s="4" t="s">
        <v>69</v>
      </c>
      <c r="I3" s="2" t="s">
        <v>2026</v>
      </c>
      <c r="J3" s="10"/>
      <c r="K3" s="6"/>
      <c r="L3" s="6"/>
      <c r="M3" s="2" t="s">
        <v>1970</v>
      </c>
      <c r="N3" s="2" t="s">
        <v>2012</v>
      </c>
      <c r="O3" s="2" t="s">
        <v>1987</v>
      </c>
      <c r="P3" s="2" t="s">
        <v>1988</v>
      </c>
      <c r="Q3" s="2"/>
      <c r="R3" s="11" t="str">
        <f>HYPERLINK("http://slimages.macys.com/is/image/MCY/12291966 ")</f>
        <v xml:space="preserve">http://slimages.macys.com/is/image/MCY/12291966 </v>
      </c>
    </row>
    <row r="4" spans="1:18" ht="24.75" x14ac:dyDescent="0.25">
      <c r="A4" s="8" t="s">
        <v>70</v>
      </c>
      <c r="B4" s="2" t="s">
        <v>71</v>
      </c>
      <c r="C4" s="4">
        <v>1</v>
      </c>
      <c r="D4" s="6">
        <v>45</v>
      </c>
      <c r="E4" s="6">
        <v>45</v>
      </c>
      <c r="F4" s="9">
        <v>128.99</v>
      </c>
      <c r="G4" s="6">
        <v>128.99</v>
      </c>
      <c r="H4" s="4" t="s">
        <v>72</v>
      </c>
      <c r="I4" s="2" t="s">
        <v>2120</v>
      </c>
      <c r="J4" s="10" t="s">
        <v>2737</v>
      </c>
      <c r="K4" s="6"/>
      <c r="L4" s="6"/>
      <c r="M4" s="2" t="s">
        <v>1970</v>
      </c>
      <c r="N4" s="2" t="s">
        <v>1986</v>
      </c>
      <c r="O4" s="2" t="s">
        <v>2146</v>
      </c>
      <c r="P4" s="2" t="s">
        <v>1988</v>
      </c>
      <c r="Q4" s="2" t="s">
        <v>1995</v>
      </c>
      <c r="R4" s="11" t="str">
        <f>HYPERLINK("http://slimages.macys.com/is/image/MCY/14477316 ")</f>
        <v xml:space="preserve">http://slimages.macys.com/is/image/MCY/14477316 </v>
      </c>
    </row>
    <row r="5" spans="1:18" ht="60.75" x14ac:dyDescent="0.25">
      <c r="A5" s="8" t="s">
        <v>1360</v>
      </c>
      <c r="B5" s="2" t="s">
        <v>73</v>
      </c>
      <c r="C5" s="4">
        <v>1</v>
      </c>
      <c r="D5" s="6">
        <v>38.24</v>
      </c>
      <c r="E5" s="6">
        <v>38.24</v>
      </c>
      <c r="F5" s="9">
        <v>93.99</v>
      </c>
      <c r="G5" s="6">
        <v>93.99</v>
      </c>
      <c r="H5" s="4" t="s">
        <v>1362</v>
      </c>
      <c r="I5" s="2" t="s">
        <v>2087</v>
      </c>
      <c r="J5" s="10"/>
      <c r="K5" s="6"/>
      <c r="L5" s="6"/>
      <c r="M5" s="2" t="s">
        <v>1970</v>
      </c>
      <c r="N5" s="2" t="s">
        <v>2012</v>
      </c>
      <c r="O5" s="2" t="s">
        <v>1987</v>
      </c>
      <c r="P5" s="2" t="s">
        <v>1988</v>
      </c>
      <c r="Q5" s="2" t="s">
        <v>2253</v>
      </c>
      <c r="R5" s="11" t="str">
        <f>HYPERLINK("http://slimages.macys.com/is/image/MCY/10028055 ")</f>
        <v xml:space="preserve">http://slimages.macys.com/is/image/MCY/10028055 </v>
      </c>
    </row>
    <row r="6" spans="1:18" ht="24.75" x14ac:dyDescent="0.25">
      <c r="A6" s="8" t="s">
        <v>74</v>
      </c>
      <c r="B6" s="2" t="s">
        <v>75</v>
      </c>
      <c r="C6" s="4">
        <v>1</v>
      </c>
      <c r="D6" s="6">
        <v>43.27</v>
      </c>
      <c r="E6" s="6">
        <v>43.27</v>
      </c>
      <c r="F6" s="9">
        <v>109.99</v>
      </c>
      <c r="G6" s="6">
        <v>109.99</v>
      </c>
      <c r="H6" s="4" t="s">
        <v>76</v>
      </c>
      <c r="I6" s="2" t="s">
        <v>2071</v>
      </c>
      <c r="J6" s="10"/>
      <c r="K6" s="6"/>
      <c r="L6" s="6"/>
      <c r="M6" s="2" t="s">
        <v>1970</v>
      </c>
      <c r="N6" s="2" t="s">
        <v>2386</v>
      </c>
      <c r="O6" s="2" t="s">
        <v>2932</v>
      </c>
      <c r="P6" s="2" t="s">
        <v>1988</v>
      </c>
      <c r="Q6" s="2"/>
      <c r="R6" s="11" t="str">
        <f>HYPERLINK("http://slimages.macys.com/is/image/MCY/8707759 ")</f>
        <v xml:space="preserve">http://slimages.macys.com/is/image/MCY/8707759 </v>
      </c>
    </row>
    <row r="7" spans="1:18" ht="72.75" x14ac:dyDescent="0.25">
      <c r="A7" s="8" t="s">
        <v>77</v>
      </c>
      <c r="B7" s="2" t="s">
        <v>78</v>
      </c>
      <c r="C7" s="4">
        <v>1</v>
      </c>
      <c r="D7" s="6">
        <v>34.729999999999997</v>
      </c>
      <c r="E7" s="6">
        <v>34.729999999999997</v>
      </c>
      <c r="F7" s="9">
        <v>77.989999999999995</v>
      </c>
      <c r="G7" s="6">
        <v>77.989999999999995</v>
      </c>
      <c r="H7" s="4" t="s">
        <v>79</v>
      </c>
      <c r="I7" s="2" t="s">
        <v>2026</v>
      </c>
      <c r="J7" s="10"/>
      <c r="K7" s="6"/>
      <c r="L7" s="6"/>
      <c r="M7" s="2" t="s">
        <v>1970</v>
      </c>
      <c r="N7" s="2" t="s">
        <v>2012</v>
      </c>
      <c r="O7" s="2" t="s">
        <v>1987</v>
      </c>
      <c r="P7" s="2" t="s">
        <v>1988</v>
      </c>
      <c r="Q7" s="2" t="s">
        <v>2150</v>
      </c>
      <c r="R7" s="11" t="str">
        <f>HYPERLINK("http://slimages.macys.com/is/image/MCY/12291966 ")</f>
        <v xml:space="preserve">http://slimages.macys.com/is/image/MCY/12291966 </v>
      </c>
    </row>
    <row r="8" spans="1:18" ht="144.75" x14ac:dyDescent="0.25">
      <c r="A8" s="8" t="s">
        <v>80</v>
      </c>
      <c r="B8" s="2" t="s">
        <v>81</v>
      </c>
      <c r="C8" s="4">
        <v>1</v>
      </c>
      <c r="D8" s="6">
        <v>39.06</v>
      </c>
      <c r="E8" s="6">
        <v>39.06</v>
      </c>
      <c r="F8" s="9">
        <v>140.99</v>
      </c>
      <c r="G8" s="6">
        <v>140.99</v>
      </c>
      <c r="H8" s="4" t="s">
        <v>82</v>
      </c>
      <c r="I8" s="2" t="s">
        <v>2430</v>
      </c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2392</v>
      </c>
      <c r="R8" s="11" t="str">
        <f>HYPERLINK("http://slimages.macys.com/is/image/MCY/12490080 ")</f>
        <v xml:space="preserve">http://slimages.macys.com/is/image/MCY/12490080 </v>
      </c>
    </row>
    <row r="9" spans="1:18" ht="24.75" x14ac:dyDescent="0.25">
      <c r="A9" s="8" t="s">
        <v>83</v>
      </c>
      <c r="B9" s="2" t="s">
        <v>998</v>
      </c>
      <c r="C9" s="4">
        <v>1</v>
      </c>
      <c r="D9" s="6">
        <v>37.54</v>
      </c>
      <c r="E9" s="6">
        <v>37.54</v>
      </c>
      <c r="F9" s="9">
        <v>103.99</v>
      </c>
      <c r="G9" s="6">
        <v>103.99</v>
      </c>
      <c r="H9" s="4" t="s">
        <v>84</v>
      </c>
      <c r="I9" s="2" t="s">
        <v>2026</v>
      </c>
      <c r="J9" s="10"/>
      <c r="K9" s="6"/>
      <c r="L9" s="6"/>
      <c r="M9" s="2" t="s">
        <v>1970</v>
      </c>
      <c r="N9" s="2" t="s">
        <v>2027</v>
      </c>
      <c r="O9" s="2" t="s">
        <v>1000</v>
      </c>
      <c r="P9" s="2" t="s">
        <v>1988</v>
      </c>
      <c r="Q9" s="2" t="s">
        <v>2095</v>
      </c>
      <c r="R9" s="11" t="str">
        <f>HYPERLINK("http://slimages.macys.com/is/image/MCY/16560076 ")</f>
        <v xml:space="preserve">http://slimages.macys.com/is/image/MCY/16560076 </v>
      </c>
    </row>
    <row r="10" spans="1:18" ht="72.75" x14ac:dyDescent="0.25">
      <c r="A10" s="8" t="s">
        <v>85</v>
      </c>
      <c r="B10" s="2" t="s">
        <v>86</v>
      </c>
      <c r="C10" s="4">
        <v>2</v>
      </c>
      <c r="D10" s="6">
        <v>32.020000000000003</v>
      </c>
      <c r="E10" s="6">
        <v>64.040000000000006</v>
      </c>
      <c r="F10" s="9">
        <v>79.989999999999995</v>
      </c>
      <c r="G10" s="6">
        <v>159.97999999999999</v>
      </c>
      <c r="H10" s="4" t="s">
        <v>87</v>
      </c>
      <c r="I10" s="2" t="s">
        <v>2026</v>
      </c>
      <c r="J10" s="10" t="s">
        <v>2679</v>
      </c>
      <c r="K10" s="6"/>
      <c r="L10" s="6"/>
      <c r="M10" s="2" t="s">
        <v>1970</v>
      </c>
      <c r="N10" s="2" t="s">
        <v>2005</v>
      </c>
      <c r="O10" s="2" t="s">
        <v>2038</v>
      </c>
      <c r="P10" s="2" t="s">
        <v>2039</v>
      </c>
      <c r="Q10" s="2" t="s">
        <v>2040</v>
      </c>
      <c r="R10" s="11" t="str">
        <f>HYPERLINK("http://slimages.macys.com/is/image/MCY/11798190 ")</f>
        <v xml:space="preserve">http://slimages.macys.com/is/image/MCY/11798190 </v>
      </c>
    </row>
    <row r="11" spans="1:18" ht="24.75" x14ac:dyDescent="0.25">
      <c r="A11" s="8" t="s">
        <v>88</v>
      </c>
      <c r="B11" s="2" t="s">
        <v>89</v>
      </c>
      <c r="C11" s="4">
        <v>1</v>
      </c>
      <c r="D11" s="6">
        <v>31.9</v>
      </c>
      <c r="E11" s="6">
        <v>31.9</v>
      </c>
      <c r="F11" s="9">
        <v>79.989999999999995</v>
      </c>
      <c r="G11" s="6">
        <v>79.989999999999995</v>
      </c>
      <c r="H11" s="4" t="s">
        <v>90</v>
      </c>
      <c r="I11" s="2" t="s">
        <v>2026</v>
      </c>
      <c r="J11" s="10"/>
      <c r="K11" s="6"/>
      <c r="L11" s="6"/>
      <c r="M11" s="2" t="s">
        <v>1970</v>
      </c>
      <c r="N11" s="2" t="s">
        <v>2005</v>
      </c>
      <c r="O11" s="2" t="s">
        <v>2038</v>
      </c>
      <c r="P11" s="2" t="s">
        <v>2039</v>
      </c>
      <c r="Q11" s="2" t="s">
        <v>2095</v>
      </c>
      <c r="R11" s="11" t="str">
        <f>HYPERLINK("http://slimages.macys.com/is/image/MCY/11798342 ")</f>
        <v xml:space="preserve">http://slimages.macys.com/is/image/MCY/11798342 </v>
      </c>
    </row>
    <row r="12" spans="1:18" ht="24.75" x14ac:dyDescent="0.25">
      <c r="A12" s="8" t="s">
        <v>91</v>
      </c>
      <c r="B12" s="2" t="s">
        <v>92</v>
      </c>
      <c r="C12" s="4">
        <v>1</v>
      </c>
      <c r="D12" s="6">
        <v>30.15</v>
      </c>
      <c r="E12" s="6">
        <v>30.15</v>
      </c>
      <c r="F12" s="9">
        <v>66.989999999999995</v>
      </c>
      <c r="G12" s="6">
        <v>66.989999999999995</v>
      </c>
      <c r="H12" s="4" t="s">
        <v>93</v>
      </c>
      <c r="I12" s="2" t="s">
        <v>2017</v>
      </c>
      <c r="J12" s="10"/>
      <c r="K12" s="6"/>
      <c r="L12" s="6"/>
      <c r="M12" s="2" t="s">
        <v>1970</v>
      </c>
      <c r="N12" s="2" t="s">
        <v>2005</v>
      </c>
      <c r="O12" s="2" t="s">
        <v>2006</v>
      </c>
      <c r="P12" s="2" t="s">
        <v>1988</v>
      </c>
      <c r="Q12" s="2" t="s">
        <v>2007</v>
      </c>
      <c r="R12" s="11" t="str">
        <f>HYPERLINK("http://slimages.macys.com/is/image/MCY/16125896 ")</f>
        <v xml:space="preserve">http://slimages.macys.com/is/image/MCY/16125896 </v>
      </c>
    </row>
    <row r="13" spans="1:18" ht="144.75" x14ac:dyDescent="0.25">
      <c r="A13" s="8" t="s">
        <v>94</v>
      </c>
      <c r="B13" s="2" t="s">
        <v>95</v>
      </c>
      <c r="C13" s="4">
        <v>1</v>
      </c>
      <c r="D13" s="6">
        <v>31.82</v>
      </c>
      <c r="E13" s="6">
        <v>31.82</v>
      </c>
      <c r="F13" s="9">
        <v>79.989999999999995</v>
      </c>
      <c r="G13" s="6">
        <v>79.989999999999995</v>
      </c>
      <c r="H13" s="4" t="s">
        <v>96</v>
      </c>
      <c r="I13" s="2" t="s">
        <v>954</v>
      </c>
      <c r="J13" s="10"/>
      <c r="K13" s="6"/>
      <c r="L13" s="6"/>
      <c r="M13" s="2" t="s">
        <v>1970</v>
      </c>
      <c r="N13" s="2" t="s">
        <v>1986</v>
      </c>
      <c r="O13" s="2" t="s">
        <v>1987</v>
      </c>
      <c r="P13" s="2" t="s">
        <v>1988</v>
      </c>
      <c r="Q13" s="2" t="s">
        <v>1726</v>
      </c>
      <c r="R13" s="11" t="str">
        <f>HYPERLINK("http://slimages.macys.com/is/image/MCY/12054809 ")</f>
        <v xml:space="preserve">http://slimages.macys.com/is/image/MCY/12054809 </v>
      </c>
    </row>
    <row r="14" spans="1:18" ht="72.75" x14ac:dyDescent="0.25">
      <c r="A14" s="8" t="s">
        <v>97</v>
      </c>
      <c r="B14" s="2" t="s">
        <v>98</v>
      </c>
      <c r="C14" s="4">
        <v>1</v>
      </c>
      <c r="D14" s="6">
        <v>31.64</v>
      </c>
      <c r="E14" s="6">
        <v>31.64</v>
      </c>
      <c r="F14" s="9">
        <v>113.99</v>
      </c>
      <c r="G14" s="6">
        <v>113.99</v>
      </c>
      <c r="H14" s="4" t="s">
        <v>99</v>
      </c>
      <c r="I14" s="2" t="s">
        <v>1993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100</v>
      </c>
      <c r="R14" s="11" t="str">
        <f>HYPERLINK("http://slimages.macys.com/is/image/MCY/12496227 ")</f>
        <v xml:space="preserve">http://slimages.macys.com/is/image/MCY/12496227 </v>
      </c>
    </row>
    <row r="15" spans="1:18" ht="84.75" x14ac:dyDescent="0.25">
      <c r="A15" s="8" t="s">
        <v>101</v>
      </c>
      <c r="B15" s="2" t="s">
        <v>102</v>
      </c>
      <c r="C15" s="4">
        <v>1</v>
      </c>
      <c r="D15" s="6">
        <v>30.37</v>
      </c>
      <c r="E15" s="6">
        <v>30.37</v>
      </c>
      <c r="F15" s="9">
        <v>81.99</v>
      </c>
      <c r="G15" s="6">
        <v>81.99</v>
      </c>
      <c r="H15" s="4" t="s">
        <v>103</v>
      </c>
      <c r="I15" s="2" t="s">
        <v>2017</v>
      </c>
      <c r="J15" s="10"/>
      <c r="K15" s="6"/>
      <c r="L15" s="6"/>
      <c r="M15" s="2" t="s">
        <v>1970</v>
      </c>
      <c r="N15" s="2" t="s">
        <v>1986</v>
      </c>
      <c r="O15" s="2" t="s">
        <v>1987</v>
      </c>
      <c r="P15" s="2" t="s">
        <v>1988</v>
      </c>
      <c r="Q15" s="2" t="s">
        <v>104</v>
      </c>
      <c r="R15" s="11" t="str">
        <f>HYPERLINK("http://slimages.macys.com/is/image/MCY/10389957 ")</f>
        <v xml:space="preserve">http://slimages.macys.com/is/image/MCY/10389957 </v>
      </c>
    </row>
    <row r="16" spans="1:18" ht="24.75" x14ac:dyDescent="0.25">
      <c r="A16" s="8" t="s">
        <v>105</v>
      </c>
      <c r="B16" s="2" t="s">
        <v>106</v>
      </c>
      <c r="C16" s="4">
        <v>1</v>
      </c>
      <c r="D16" s="6">
        <v>25</v>
      </c>
      <c r="E16" s="6">
        <v>25</v>
      </c>
      <c r="F16" s="9">
        <v>62.99</v>
      </c>
      <c r="G16" s="6">
        <v>62.99</v>
      </c>
      <c r="H16" s="4" t="s">
        <v>107</v>
      </c>
      <c r="I16" s="2" t="s">
        <v>2057</v>
      </c>
      <c r="J16" s="10"/>
      <c r="K16" s="6"/>
      <c r="L16" s="6"/>
      <c r="M16" s="2" t="s">
        <v>1970</v>
      </c>
      <c r="N16" s="2" t="s">
        <v>2005</v>
      </c>
      <c r="O16" s="2" t="s">
        <v>2274</v>
      </c>
      <c r="P16" s="2" t="s">
        <v>1988</v>
      </c>
      <c r="Q16" s="2" t="s">
        <v>108</v>
      </c>
      <c r="R16" s="11" t="str">
        <f>HYPERLINK("http://slimages.macys.com/is/image/MCY/15950228 ")</f>
        <v xml:space="preserve">http://slimages.macys.com/is/image/MCY/15950228 </v>
      </c>
    </row>
    <row r="17" spans="1:18" ht="24.75" x14ac:dyDescent="0.25">
      <c r="A17" s="8" t="s">
        <v>109</v>
      </c>
      <c r="B17" s="2" t="s">
        <v>110</v>
      </c>
      <c r="C17" s="4">
        <v>1</v>
      </c>
      <c r="D17" s="6">
        <v>28.46</v>
      </c>
      <c r="E17" s="6">
        <v>28.46</v>
      </c>
      <c r="F17" s="9">
        <v>102.99</v>
      </c>
      <c r="G17" s="6">
        <v>102.99</v>
      </c>
      <c r="H17" s="4" t="s">
        <v>111</v>
      </c>
      <c r="I17" s="2" t="s">
        <v>2071</v>
      </c>
      <c r="J17" s="10"/>
      <c r="K17" s="6"/>
      <c r="L17" s="6"/>
      <c r="M17" s="2" t="s">
        <v>1970</v>
      </c>
      <c r="N17" s="2" t="s">
        <v>1986</v>
      </c>
      <c r="O17" s="2" t="s">
        <v>1994</v>
      </c>
      <c r="P17" s="2" t="s">
        <v>1988</v>
      </c>
      <c r="Q17" s="2" t="s">
        <v>1995</v>
      </c>
      <c r="R17" s="11" t="str">
        <f>HYPERLINK("http://slimages.macys.com/is/image/MCY/13827543 ")</f>
        <v xml:space="preserve">http://slimages.macys.com/is/image/MCY/13827543 </v>
      </c>
    </row>
    <row r="18" spans="1:18" ht="48.75" x14ac:dyDescent="0.25">
      <c r="A18" s="8" t="s">
        <v>112</v>
      </c>
      <c r="B18" s="2" t="s">
        <v>995</v>
      </c>
      <c r="C18" s="4">
        <v>1</v>
      </c>
      <c r="D18" s="6">
        <v>24.3</v>
      </c>
      <c r="E18" s="6">
        <v>24.3</v>
      </c>
      <c r="F18" s="9">
        <v>69.989999999999995</v>
      </c>
      <c r="G18" s="6">
        <v>69.989999999999995</v>
      </c>
      <c r="H18" s="4">
        <v>80515</v>
      </c>
      <c r="I18" s="2" t="s">
        <v>2026</v>
      </c>
      <c r="J18" s="10"/>
      <c r="K18" s="6"/>
      <c r="L18" s="6"/>
      <c r="M18" s="2" t="s">
        <v>1970</v>
      </c>
      <c r="N18" s="2" t="s">
        <v>2005</v>
      </c>
      <c r="O18" s="2" t="s">
        <v>2098</v>
      </c>
      <c r="P18" s="2" t="s">
        <v>2499</v>
      </c>
      <c r="Q18" s="2" t="s">
        <v>996</v>
      </c>
      <c r="R18" s="11" t="str">
        <f>HYPERLINK("http://slimages.macys.com/is/image/MCY/11531728 ")</f>
        <v xml:space="preserve">http://slimages.macys.com/is/image/MCY/11531728 </v>
      </c>
    </row>
    <row r="19" spans="1:18" ht="24.75" x14ac:dyDescent="0.25">
      <c r="A19" s="8" t="s">
        <v>113</v>
      </c>
      <c r="B19" s="2" t="s">
        <v>114</v>
      </c>
      <c r="C19" s="4">
        <v>1</v>
      </c>
      <c r="D19" s="6">
        <v>27.77</v>
      </c>
      <c r="E19" s="6">
        <v>27.77</v>
      </c>
      <c r="F19" s="9">
        <v>119.99</v>
      </c>
      <c r="G19" s="6">
        <v>119.99</v>
      </c>
      <c r="H19" s="4" t="s">
        <v>115</v>
      </c>
      <c r="I19" s="2" t="s">
        <v>2120</v>
      </c>
      <c r="J19" s="10"/>
      <c r="K19" s="6"/>
      <c r="L19" s="6"/>
      <c r="M19" s="2" t="s">
        <v>1970</v>
      </c>
      <c r="N19" s="2" t="s">
        <v>1986</v>
      </c>
      <c r="O19" s="2" t="s">
        <v>116</v>
      </c>
      <c r="P19" s="2" t="s">
        <v>1988</v>
      </c>
      <c r="Q19" s="2" t="s">
        <v>2310</v>
      </c>
      <c r="R19" s="11" t="str">
        <f>HYPERLINK("http://slimages.macys.com/is/image/MCY/9828031 ")</f>
        <v xml:space="preserve">http://slimages.macys.com/is/image/MCY/9828031 </v>
      </c>
    </row>
    <row r="20" spans="1:18" ht="24.75" x14ac:dyDescent="0.25">
      <c r="A20" s="8" t="s">
        <v>117</v>
      </c>
      <c r="B20" s="2" t="s">
        <v>118</v>
      </c>
      <c r="C20" s="4">
        <v>1</v>
      </c>
      <c r="D20" s="6">
        <v>27</v>
      </c>
      <c r="E20" s="6">
        <v>27</v>
      </c>
      <c r="F20" s="9">
        <v>78.989999999999995</v>
      </c>
      <c r="G20" s="6">
        <v>78.989999999999995</v>
      </c>
      <c r="H20" s="4" t="s">
        <v>119</v>
      </c>
      <c r="I20" s="2" t="s">
        <v>2057</v>
      </c>
      <c r="J20" s="10"/>
      <c r="K20" s="6"/>
      <c r="L20" s="6"/>
      <c r="M20" s="2" t="s">
        <v>1970</v>
      </c>
      <c r="N20" s="2" t="s">
        <v>1986</v>
      </c>
      <c r="O20" s="2" t="s">
        <v>1833</v>
      </c>
      <c r="P20" s="2" t="s">
        <v>1988</v>
      </c>
      <c r="Q20" s="2" t="s">
        <v>1995</v>
      </c>
      <c r="R20" s="11" t="str">
        <f>HYPERLINK("http://slimages.macys.com/is/image/MCY/12677375 ")</f>
        <v xml:space="preserve">http://slimages.macys.com/is/image/MCY/12677375 </v>
      </c>
    </row>
    <row r="21" spans="1:18" ht="72.75" x14ac:dyDescent="0.25">
      <c r="A21" s="8" t="s">
        <v>120</v>
      </c>
      <c r="B21" s="2" t="s">
        <v>121</v>
      </c>
      <c r="C21" s="4">
        <v>1</v>
      </c>
      <c r="D21" s="6">
        <v>24.39</v>
      </c>
      <c r="E21" s="6">
        <v>24.39</v>
      </c>
      <c r="F21" s="9">
        <v>66.989999999999995</v>
      </c>
      <c r="G21" s="6">
        <v>66.989999999999995</v>
      </c>
      <c r="H21" s="4" t="s">
        <v>122</v>
      </c>
      <c r="I21" s="2" t="s">
        <v>2048</v>
      </c>
      <c r="J21" s="10"/>
      <c r="K21" s="6"/>
      <c r="L21" s="6"/>
      <c r="M21" s="2" t="s">
        <v>1970</v>
      </c>
      <c r="N21" s="2" t="s">
        <v>1986</v>
      </c>
      <c r="O21" s="2" t="s">
        <v>1994</v>
      </c>
      <c r="P21" s="2" t="s">
        <v>1988</v>
      </c>
      <c r="Q21" s="2" t="s">
        <v>123</v>
      </c>
      <c r="R21" s="11" t="str">
        <f>HYPERLINK("http://slimages.macys.com/is/image/MCY/11865567 ")</f>
        <v xml:space="preserve">http://slimages.macys.com/is/image/MCY/11865567 </v>
      </c>
    </row>
    <row r="22" spans="1:18" ht="24.75" x14ac:dyDescent="0.25">
      <c r="A22" s="8" t="s">
        <v>124</v>
      </c>
      <c r="B22" s="2" t="s">
        <v>125</v>
      </c>
      <c r="C22" s="4">
        <v>1</v>
      </c>
      <c r="D22" s="6">
        <v>23.81</v>
      </c>
      <c r="E22" s="6">
        <v>23.81</v>
      </c>
      <c r="F22" s="9">
        <v>59.99</v>
      </c>
      <c r="G22" s="6">
        <v>59.99</v>
      </c>
      <c r="H22" s="4" t="s">
        <v>126</v>
      </c>
      <c r="I22" s="2" t="s">
        <v>2026</v>
      </c>
      <c r="J22" s="10"/>
      <c r="K22" s="6"/>
      <c r="L22" s="6"/>
      <c r="M22" s="2" t="s">
        <v>1970</v>
      </c>
      <c r="N22" s="2" t="s">
        <v>2032</v>
      </c>
      <c r="O22" s="2" t="s">
        <v>1987</v>
      </c>
      <c r="P22" s="2" t="s">
        <v>1988</v>
      </c>
      <c r="Q22" s="2" t="s">
        <v>2305</v>
      </c>
      <c r="R22" s="11" t="str">
        <f>HYPERLINK("http://slimages.macys.com/is/image/MCY/10764970 ")</f>
        <v xml:space="preserve">http://slimages.macys.com/is/image/MCY/10764970 </v>
      </c>
    </row>
    <row r="23" spans="1:18" ht="36.75" x14ac:dyDescent="0.25">
      <c r="A23" s="8" t="s">
        <v>127</v>
      </c>
      <c r="B23" s="2" t="s">
        <v>128</v>
      </c>
      <c r="C23" s="4">
        <v>1</v>
      </c>
      <c r="D23" s="6">
        <v>22.6</v>
      </c>
      <c r="E23" s="6">
        <v>22.6</v>
      </c>
      <c r="F23" s="9">
        <v>59.99</v>
      </c>
      <c r="G23" s="6">
        <v>59.99</v>
      </c>
      <c r="H23" s="4" t="s">
        <v>129</v>
      </c>
      <c r="I23" s="2" t="s">
        <v>2189</v>
      </c>
      <c r="J23" s="10"/>
      <c r="K23" s="6"/>
      <c r="L23" s="6"/>
      <c r="M23" s="2" t="s">
        <v>1970</v>
      </c>
      <c r="N23" s="2" t="s">
        <v>1986</v>
      </c>
      <c r="O23" s="2" t="s">
        <v>1987</v>
      </c>
      <c r="P23" s="2" t="s">
        <v>1988</v>
      </c>
      <c r="Q23" s="2" t="s">
        <v>130</v>
      </c>
      <c r="R23" s="11" t="str">
        <f>HYPERLINK("http://slimages.macys.com/is/image/MCY/9486399 ")</f>
        <v xml:space="preserve">http://slimages.macys.com/is/image/MCY/9486399 </v>
      </c>
    </row>
    <row r="24" spans="1:18" ht="24.75" x14ac:dyDescent="0.25">
      <c r="A24" s="8" t="s">
        <v>131</v>
      </c>
      <c r="B24" s="2" t="s">
        <v>132</v>
      </c>
      <c r="C24" s="4">
        <v>1</v>
      </c>
      <c r="D24" s="6">
        <v>18.86</v>
      </c>
      <c r="E24" s="6">
        <v>18.86</v>
      </c>
      <c r="F24" s="9">
        <v>41.99</v>
      </c>
      <c r="G24" s="6">
        <v>41.99</v>
      </c>
      <c r="H24" s="4" t="s">
        <v>133</v>
      </c>
      <c r="I24" s="2" t="s">
        <v>2021</v>
      </c>
      <c r="J24" s="10"/>
      <c r="K24" s="6"/>
      <c r="L24" s="6"/>
      <c r="M24" s="2" t="s">
        <v>1970</v>
      </c>
      <c r="N24" s="2" t="s">
        <v>2012</v>
      </c>
      <c r="O24" s="2" t="s">
        <v>1987</v>
      </c>
      <c r="P24" s="2" t="s">
        <v>1988</v>
      </c>
      <c r="Q24" s="2" t="s">
        <v>2817</v>
      </c>
      <c r="R24" s="11" t="str">
        <f>HYPERLINK("http://slimages.macys.com/is/image/MCY/9539706 ")</f>
        <v xml:space="preserve">http://slimages.macys.com/is/image/MCY/9539706 </v>
      </c>
    </row>
    <row r="25" spans="1:18" ht="24.75" x14ac:dyDescent="0.25">
      <c r="A25" s="8" t="s">
        <v>134</v>
      </c>
      <c r="B25" s="2" t="s">
        <v>135</v>
      </c>
      <c r="C25" s="4">
        <v>1</v>
      </c>
      <c r="D25" s="6">
        <v>21.75</v>
      </c>
      <c r="E25" s="6">
        <v>21.75</v>
      </c>
      <c r="F25" s="9">
        <v>57.99</v>
      </c>
      <c r="G25" s="6">
        <v>57.99</v>
      </c>
      <c r="H25" s="4" t="s">
        <v>136</v>
      </c>
      <c r="I25" s="2" t="s">
        <v>2048</v>
      </c>
      <c r="J25" s="10"/>
      <c r="K25" s="6"/>
      <c r="L25" s="6"/>
      <c r="M25" s="2" t="s">
        <v>1970</v>
      </c>
      <c r="N25" s="2" t="s">
        <v>1986</v>
      </c>
      <c r="O25" s="2" t="s">
        <v>1242</v>
      </c>
      <c r="P25" s="2" t="s">
        <v>1988</v>
      </c>
      <c r="Q25" s="2" t="s">
        <v>1995</v>
      </c>
      <c r="R25" s="11" t="str">
        <f>HYPERLINK("http://slimages.macys.com/is/image/MCY/12281507 ")</f>
        <v xml:space="preserve">http://slimages.macys.com/is/image/MCY/12281507 </v>
      </c>
    </row>
    <row r="26" spans="1:18" ht="24.75" x14ac:dyDescent="0.25">
      <c r="A26" s="8" t="s">
        <v>137</v>
      </c>
      <c r="B26" s="2" t="s">
        <v>138</v>
      </c>
      <c r="C26" s="4">
        <v>3</v>
      </c>
      <c r="D26" s="6">
        <v>18.29</v>
      </c>
      <c r="E26" s="6">
        <v>54.87</v>
      </c>
      <c r="F26" s="9">
        <v>53.99</v>
      </c>
      <c r="G26" s="6">
        <v>161.97</v>
      </c>
      <c r="H26" s="4" t="s">
        <v>139</v>
      </c>
      <c r="I26" s="2" t="s">
        <v>2004</v>
      </c>
      <c r="J26" s="10"/>
      <c r="K26" s="6"/>
      <c r="L26" s="6"/>
      <c r="M26" s="2" t="s">
        <v>1970</v>
      </c>
      <c r="N26" s="2" t="s">
        <v>2012</v>
      </c>
      <c r="O26" s="2" t="s">
        <v>2331</v>
      </c>
      <c r="P26" s="2" t="s">
        <v>1988</v>
      </c>
      <c r="Q26" s="2" t="s">
        <v>2063</v>
      </c>
      <c r="R26" s="11" t="str">
        <f>HYPERLINK("http://slimages.macys.com/is/image/MCY/11685976 ")</f>
        <v xml:space="preserve">http://slimages.macys.com/is/image/MCY/11685976 </v>
      </c>
    </row>
    <row r="27" spans="1:18" ht="36.75" x14ac:dyDescent="0.25">
      <c r="A27" s="8" t="s">
        <v>140</v>
      </c>
      <c r="B27" s="2" t="s">
        <v>141</v>
      </c>
      <c r="C27" s="4">
        <v>1</v>
      </c>
      <c r="D27" s="6">
        <v>21.04</v>
      </c>
      <c r="E27" s="6">
        <v>21.04</v>
      </c>
      <c r="F27" s="9">
        <v>44.99</v>
      </c>
      <c r="G27" s="6">
        <v>44.99</v>
      </c>
      <c r="H27" s="4" t="s">
        <v>142</v>
      </c>
      <c r="I27" s="2" t="s">
        <v>2106</v>
      </c>
      <c r="J27" s="10" t="s">
        <v>143</v>
      </c>
      <c r="K27" s="6"/>
      <c r="L27" s="6"/>
      <c r="M27" s="2" t="s">
        <v>1970</v>
      </c>
      <c r="N27" s="2" t="s">
        <v>991</v>
      </c>
      <c r="O27" s="2" t="s">
        <v>1064</v>
      </c>
      <c r="P27" s="2" t="s">
        <v>1988</v>
      </c>
      <c r="Q27" s="2" t="s">
        <v>144</v>
      </c>
      <c r="R27" s="11" t="str">
        <f>HYPERLINK("http://slimages.macys.com/is/image/MCY/3633375 ")</f>
        <v xml:space="preserve">http://slimages.macys.com/is/image/MCY/3633375 </v>
      </c>
    </row>
    <row r="28" spans="1:18" ht="24.75" x14ac:dyDescent="0.25">
      <c r="A28" s="8" t="s">
        <v>145</v>
      </c>
      <c r="B28" s="2" t="s">
        <v>146</v>
      </c>
      <c r="C28" s="4">
        <v>2</v>
      </c>
      <c r="D28" s="6">
        <v>17.600000000000001</v>
      </c>
      <c r="E28" s="6">
        <v>35.200000000000003</v>
      </c>
      <c r="F28" s="9">
        <v>36.99</v>
      </c>
      <c r="G28" s="6">
        <v>73.98</v>
      </c>
      <c r="H28" s="4">
        <v>47373</v>
      </c>
      <c r="I28" s="2" t="s">
        <v>2430</v>
      </c>
      <c r="J28" s="10"/>
      <c r="K28" s="6"/>
      <c r="L28" s="6"/>
      <c r="M28" s="2" t="s">
        <v>1970</v>
      </c>
      <c r="N28" s="2" t="s">
        <v>2012</v>
      </c>
      <c r="O28" s="2" t="s">
        <v>2203</v>
      </c>
      <c r="P28" s="2" t="s">
        <v>1988</v>
      </c>
      <c r="Q28" s="2" t="s">
        <v>1995</v>
      </c>
      <c r="R28" s="11" t="str">
        <f>HYPERLINK("http://slimages.macys.com/is/image/MCY/3208152 ")</f>
        <v xml:space="preserve">http://slimages.macys.com/is/image/MCY/3208152 </v>
      </c>
    </row>
    <row r="29" spans="1:18" ht="24.75" x14ac:dyDescent="0.25">
      <c r="A29" s="8" t="s">
        <v>147</v>
      </c>
      <c r="B29" s="2" t="s">
        <v>148</v>
      </c>
      <c r="C29" s="4">
        <v>3</v>
      </c>
      <c r="D29" s="6">
        <v>17.36</v>
      </c>
      <c r="E29" s="6">
        <v>52.08</v>
      </c>
      <c r="F29" s="9">
        <v>42.99</v>
      </c>
      <c r="G29" s="6">
        <v>128.97</v>
      </c>
      <c r="H29" s="4" t="s">
        <v>149</v>
      </c>
      <c r="I29" s="2" t="s">
        <v>2071</v>
      </c>
      <c r="J29" s="10"/>
      <c r="K29" s="6"/>
      <c r="L29" s="6"/>
      <c r="M29" s="2" t="s">
        <v>1970</v>
      </c>
      <c r="N29" s="2" t="s">
        <v>2012</v>
      </c>
      <c r="O29" s="2" t="s">
        <v>1987</v>
      </c>
      <c r="P29" s="2" t="s">
        <v>1988</v>
      </c>
      <c r="Q29" s="2"/>
      <c r="R29" s="11" t="str">
        <f>HYPERLINK("http://slimages.macys.com/is/image/MCY/9912812 ")</f>
        <v xml:space="preserve">http://slimages.macys.com/is/image/MCY/9912812 </v>
      </c>
    </row>
    <row r="30" spans="1:18" ht="24.75" x14ac:dyDescent="0.25">
      <c r="A30" s="8" t="s">
        <v>150</v>
      </c>
      <c r="B30" s="2" t="s">
        <v>151</v>
      </c>
      <c r="C30" s="4">
        <v>1</v>
      </c>
      <c r="D30" s="6">
        <v>16.670000000000002</v>
      </c>
      <c r="E30" s="6">
        <v>16.670000000000002</v>
      </c>
      <c r="F30" s="9">
        <v>37.99</v>
      </c>
      <c r="G30" s="6">
        <v>37.99</v>
      </c>
      <c r="H30" s="4" t="s">
        <v>152</v>
      </c>
      <c r="I30" s="2" t="s">
        <v>2017</v>
      </c>
      <c r="J30" s="10" t="s">
        <v>2072</v>
      </c>
      <c r="K30" s="6"/>
      <c r="L30" s="6"/>
      <c r="M30" s="2" t="s">
        <v>1970</v>
      </c>
      <c r="N30" s="2" t="s">
        <v>2012</v>
      </c>
      <c r="O30" s="2" t="s">
        <v>1987</v>
      </c>
      <c r="P30" s="2" t="s">
        <v>1988</v>
      </c>
      <c r="Q30" s="2" t="s">
        <v>2420</v>
      </c>
      <c r="R30" s="11" t="str">
        <f>HYPERLINK("http://slimages.macys.com/is/image/MCY/9602308 ")</f>
        <v xml:space="preserve">http://slimages.macys.com/is/image/MCY/9602308 </v>
      </c>
    </row>
    <row r="31" spans="1:18" ht="24.75" x14ac:dyDescent="0.25">
      <c r="A31" s="8" t="s">
        <v>153</v>
      </c>
      <c r="B31" s="2" t="s">
        <v>154</v>
      </c>
      <c r="C31" s="4">
        <v>2</v>
      </c>
      <c r="D31" s="6">
        <v>18.09</v>
      </c>
      <c r="E31" s="6">
        <v>36.18</v>
      </c>
      <c r="F31" s="9">
        <v>49.99</v>
      </c>
      <c r="G31" s="6">
        <v>99.98</v>
      </c>
      <c r="H31" s="4">
        <v>100061679</v>
      </c>
      <c r="I31" s="2" t="s">
        <v>2011</v>
      </c>
      <c r="J31" s="10" t="s">
        <v>2314</v>
      </c>
      <c r="K31" s="6"/>
      <c r="L31" s="6"/>
      <c r="M31" s="2" t="s">
        <v>1970</v>
      </c>
      <c r="N31" s="2" t="s">
        <v>2295</v>
      </c>
      <c r="O31" s="2" t="s">
        <v>155</v>
      </c>
      <c r="P31" s="2" t="s">
        <v>1988</v>
      </c>
      <c r="Q31" s="2"/>
      <c r="R31" s="11" t="str">
        <f>HYPERLINK("http://slimages.macys.com/is/image/MCY/14359342 ")</f>
        <v xml:space="preserve">http://slimages.macys.com/is/image/MCY/14359342 </v>
      </c>
    </row>
    <row r="32" spans="1:18" ht="24.75" x14ac:dyDescent="0.25">
      <c r="A32" s="8" t="s">
        <v>156</v>
      </c>
      <c r="B32" s="2" t="s">
        <v>157</v>
      </c>
      <c r="C32" s="4">
        <v>1</v>
      </c>
      <c r="D32" s="6">
        <v>14.39</v>
      </c>
      <c r="E32" s="6">
        <v>14.39</v>
      </c>
      <c r="F32" s="9">
        <v>30.99</v>
      </c>
      <c r="G32" s="6">
        <v>30.99</v>
      </c>
      <c r="H32" s="4" t="s">
        <v>158</v>
      </c>
      <c r="I32" s="2" t="s">
        <v>2021</v>
      </c>
      <c r="J32" s="10"/>
      <c r="K32" s="6"/>
      <c r="L32" s="6"/>
      <c r="M32" s="2" t="s">
        <v>1970</v>
      </c>
      <c r="N32" s="2" t="s">
        <v>2012</v>
      </c>
      <c r="O32" s="2" t="s">
        <v>1987</v>
      </c>
      <c r="P32" s="2" t="s">
        <v>1988</v>
      </c>
      <c r="Q32" s="2" t="s">
        <v>2817</v>
      </c>
      <c r="R32" s="11" t="str">
        <f>HYPERLINK("http://slimages.macys.com/is/image/MCY/9539706 ")</f>
        <v xml:space="preserve">http://slimages.macys.com/is/image/MCY/9539706 </v>
      </c>
    </row>
    <row r="33" spans="1:18" ht="24.75" x14ac:dyDescent="0.25">
      <c r="A33" s="8" t="s">
        <v>159</v>
      </c>
      <c r="B33" s="2" t="s">
        <v>160</v>
      </c>
      <c r="C33" s="4">
        <v>1</v>
      </c>
      <c r="D33" s="6">
        <v>14</v>
      </c>
      <c r="E33" s="6">
        <v>14</v>
      </c>
      <c r="F33" s="9">
        <v>41.99</v>
      </c>
      <c r="G33" s="6">
        <v>41.99</v>
      </c>
      <c r="H33" s="4" t="s">
        <v>161</v>
      </c>
      <c r="I33" s="2" t="s">
        <v>2077</v>
      </c>
      <c r="J33" s="10"/>
      <c r="K33" s="6"/>
      <c r="L33" s="6"/>
      <c r="M33" s="2" t="s">
        <v>1970</v>
      </c>
      <c r="N33" s="2" t="s">
        <v>2012</v>
      </c>
      <c r="O33" s="2" t="s">
        <v>2013</v>
      </c>
      <c r="P33" s="2" t="s">
        <v>1988</v>
      </c>
      <c r="Q33" s="2" t="s">
        <v>1995</v>
      </c>
      <c r="R33" s="11" t="str">
        <f>HYPERLINK("http://slimages.macys.com/is/image/MCY/13814851 ")</f>
        <v xml:space="preserve">http://slimages.macys.com/is/image/MCY/13814851 </v>
      </c>
    </row>
    <row r="34" spans="1:18" ht="24.75" x14ac:dyDescent="0.25">
      <c r="A34" s="8" t="s">
        <v>162</v>
      </c>
      <c r="B34" s="2" t="s">
        <v>163</v>
      </c>
      <c r="C34" s="4">
        <v>1</v>
      </c>
      <c r="D34" s="6">
        <v>13.39</v>
      </c>
      <c r="E34" s="6">
        <v>13.39</v>
      </c>
      <c r="F34" s="9">
        <v>29.99</v>
      </c>
      <c r="G34" s="6">
        <v>29.99</v>
      </c>
      <c r="H34" s="4" t="s">
        <v>164</v>
      </c>
      <c r="I34" s="2" t="s">
        <v>2017</v>
      </c>
      <c r="J34" s="10" t="s">
        <v>2314</v>
      </c>
      <c r="K34" s="6"/>
      <c r="L34" s="6"/>
      <c r="M34" s="2" t="s">
        <v>1970</v>
      </c>
      <c r="N34" s="2" t="s">
        <v>2012</v>
      </c>
      <c r="O34" s="2" t="s">
        <v>1987</v>
      </c>
      <c r="P34" s="2" t="s">
        <v>1988</v>
      </c>
      <c r="Q34" s="2" t="s">
        <v>1185</v>
      </c>
      <c r="R34" s="11" t="str">
        <f>HYPERLINK("http://slimages.macys.com/is/image/MCY/9602958 ")</f>
        <v xml:space="preserve">http://slimages.macys.com/is/image/MCY/9602958 </v>
      </c>
    </row>
    <row r="35" spans="1:18" ht="24.75" x14ac:dyDescent="0.25">
      <c r="A35" s="8" t="s">
        <v>165</v>
      </c>
      <c r="B35" s="2" t="s">
        <v>166</v>
      </c>
      <c r="C35" s="4">
        <v>1</v>
      </c>
      <c r="D35" s="6">
        <v>13</v>
      </c>
      <c r="E35" s="6">
        <v>13</v>
      </c>
      <c r="F35" s="9">
        <v>32.99</v>
      </c>
      <c r="G35" s="6">
        <v>32.99</v>
      </c>
      <c r="H35" s="4" t="s">
        <v>167</v>
      </c>
      <c r="I35" s="2" t="s">
        <v>2026</v>
      </c>
      <c r="J35" s="10"/>
      <c r="K35" s="6"/>
      <c r="L35" s="6"/>
      <c r="M35" s="2" t="s">
        <v>1970</v>
      </c>
      <c r="N35" s="2" t="s">
        <v>2005</v>
      </c>
      <c r="O35" s="2" t="s">
        <v>2274</v>
      </c>
      <c r="P35" s="2" t="s">
        <v>1988</v>
      </c>
      <c r="Q35" s="2" t="s">
        <v>2275</v>
      </c>
      <c r="R35" s="11" t="str">
        <f>HYPERLINK("http://slimages.macys.com/is/image/MCY/13767770 ")</f>
        <v xml:space="preserve">http://slimages.macys.com/is/image/MCY/13767770 </v>
      </c>
    </row>
    <row r="36" spans="1:18" ht="24.75" x14ac:dyDescent="0.25">
      <c r="A36" s="8" t="s">
        <v>1861</v>
      </c>
      <c r="B36" s="2" t="s">
        <v>1862</v>
      </c>
      <c r="C36" s="4">
        <v>1</v>
      </c>
      <c r="D36" s="6">
        <v>12.5</v>
      </c>
      <c r="E36" s="6">
        <v>12.5</v>
      </c>
      <c r="F36" s="9">
        <v>29.99</v>
      </c>
      <c r="G36" s="6">
        <v>29.99</v>
      </c>
      <c r="H36" s="4" t="s">
        <v>1863</v>
      </c>
      <c r="I36" s="2" t="s">
        <v>2071</v>
      </c>
      <c r="J36" s="10"/>
      <c r="K36" s="6"/>
      <c r="L36" s="6"/>
      <c r="M36" s="2" t="s">
        <v>1970</v>
      </c>
      <c r="N36" s="2" t="s">
        <v>2012</v>
      </c>
      <c r="O36" s="2" t="s">
        <v>1987</v>
      </c>
      <c r="P36" s="2" t="s">
        <v>1988</v>
      </c>
      <c r="Q36" s="2"/>
      <c r="R36" s="11" t="str">
        <f>HYPERLINK("http://slimages.macys.com/is/image/MCY/9602382 ")</f>
        <v xml:space="preserve">http://slimages.macys.com/is/image/MCY/9602382 </v>
      </c>
    </row>
    <row r="37" spans="1:18" ht="24.75" x14ac:dyDescent="0.25">
      <c r="A37" s="8" t="s">
        <v>168</v>
      </c>
      <c r="B37" s="2" t="s">
        <v>169</v>
      </c>
      <c r="C37" s="4">
        <v>2</v>
      </c>
      <c r="D37" s="6">
        <v>11.16</v>
      </c>
      <c r="E37" s="6">
        <v>22.32</v>
      </c>
      <c r="F37" s="9">
        <v>24.99</v>
      </c>
      <c r="G37" s="6">
        <v>49.98</v>
      </c>
      <c r="H37" s="4" t="s">
        <v>170</v>
      </c>
      <c r="I37" s="2" t="s">
        <v>1993</v>
      </c>
      <c r="J37" s="10"/>
      <c r="K37" s="6"/>
      <c r="L37" s="6"/>
      <c r="M37" s="2" t="s">
        <v>1970</v>
      </c>
      <c r="N37" s="2" t="s">
        <v>2012</v>
      </c>
      <c r="O37" s="2" t="s">
        <v>1987</v>
      </c>
      <c r="P37" s="2" t="s">
        <v>1988</v>
      </c>
      <c r="Q37" s="2"/>
      <c r="R37" s="11" t="str">
        <f>HYPERLINK("http://slimages.macys.com/is/image/MCY/9961874 ")</f>
        <v xml:space="preserve">http://slimages.macys.com/is/image/MCY/9961874 </v>
      </c>
    </row>
    <row r="38" spans="1:18" ht="24.75" x14ac:dyDescent="0.25">
      <c r="A38" s="8" t="s">
        <v>171</v>
      </c>
      <c r="B38" s="2" t="s">
        <v>172</v>
      </c>
      <c r="C38" s="4">
        <v>1</v>
      </c>
      <c r="D38" s="6">
        <v>10.42</v>
      </c>
      <c r="E38" s="6">
        <v>10.42</v>
      </c>
      <c r="F38" s="9">
        <v>19.989999999999998</v>
      </c>
      <c r="G38" s="6">
        <v>19.989999999999998</v>
      </c>
      <c r="H38" s="4" t="s">
        <v>173</v>
      </c>
      <c r="I38" s="2" t="s">
        <v>2071</v>
      </c>
      <c r="J38" s="10" t="s">
        <v>2072</v>
      </c>
      <c r="K38" s="6"/>
      <c r="L38" s="6"/>
      <c r="M38" s="2" t="s">
        <v>1970</v>
      </c>
      <c r="N38" s="2" t="s">
        <v>2012</v>
      </c>
      <c r="O38" s="2" t="s">
        <v>1987</v>
      </c>
      <c r="P38" s="2" t="s">
        <v>1988</v>
      </c>
      <c r="Q38" s="2" t="s">
        <v>1112</v>
      </c>
      <c r="R38" s="11" t="str">
        <f>HYPERLINK("http://slimages.macys.com/is/image/MCY/9602450 ")</f>
        <v xml:space="preserve">http://slimages.macys.com/is/image/MCY/9602450 </v>
      </c>
    </row>
    <row r="39" spans="1:18" ht="24.75" x14ac:dyDescent="0.25">
      <c r="A39" s="8" t="s">
        <v>174</v>
      </c>
      <c r="B39" s="2" t="s">
        <v>175</v>
      </c>
      <c r="C39" s="4">
        <v>1</v>
      </c>
      <c r="D39" s="6">
        <v>10.42</v>
      </c>
      <c r="E39" s="6">
        <v>10.42</v>
      </c>
      <c r="F39" s="9">
        <v>19.989999999999998</v>
      </c>
      <c r="G39" s="6">
        <v>19.989999999999998</v>
      </c>
      <c r="H39" s="4" t="s">
        <v>176</v>
      </c>
      <c r="I39" s="2" t="s">
        <v>2177</v>
      </c>
      <c r="J39" s="10" t="s">
        <v>2072</v>
      </c>
      <c r="K39" s="6"/>
      <c r="L39" s="6"/>
      <c r="M39" s="2" t="s">
        <v>1970</v>
      </c>
      <c r="N39" s="2" t="s">
        <v>2012</v>
      </c>
      <c r="O39" s="2" t="s">
        <v>1987</v>
      </c>
      <c r="P39" s="2" t="s">
        <v>1988</v>
      </c>
      <c r="Q39" s="2" t="s">
        <v>1112</v>
      </c>
      <c r="R39" s="11" t="str">
        <f>HYPERLINK("http://slimages.macys.com/is/image/MCY/9602450 ")</f>
        <v xml:space="preserve">http://slimages.macys.com/is/image/MCY/9602450 </v>
      </c>
    </row>
    <row r="40" spans="1:18" ht="24.75" x14ac:dyDescent="0.25">
      <c r="A40" s="8" t="s">
        <v>1753</v>
      </c>
      <c r="B40" s="2" t="s">
        <v>1754</v>
      </c>
      <c r="C40" s="4">
        <v>1</v>
      </c>
      <c r="D40" s="6">
        <v>10.42</v>
      </c>
      <c r="E40" s="6">
        <v>10.42</v>
      </c>
      <c r="F40" s="9">
        <v>19.989999999999998</v>
      </c>
      <c r="G40" s="6">
        <v>19.989999999999998</v>
      </c>
      <c r="H40" s="4" t="s">
        <v>1755</v>
      </c>
      <c r="I40" s="2" t="s">
        <v>1993</v>
      </c>
      <c r="J40" s="10" t="s">
        <v>2072</v>
      </c>
      <c r="K40" s="6"/>
      <c r="L40" s="6"/>
      <c r="M40" s="2" t="s">
        <v>1970</v>
      </c>
      <c r="N40" s="2" t="s">
        <v>2012</v>
      </c>
      <c r="O40" s="2" t="s">
        <v>1987</v>
      </c>
      <c r="P40" s="2" t="s">
        <v>1988</v>
      </c>
      <c r="Q40" s="2" t="s">
        <v>1112</v>
      </c>
      <c r="R40" s="11" t="str">
        <f>HYPERLINK("http://slimages.macys.com/is/image/MCY/9602450 ")</f>
        <v xml:space="preserve">http://slimages.macys.com/is/image/MCY/9602450 </v>
      </c>
    </row>
    <row r="41" spans="1:18" ht="24.75" x14ac:dyDescent="0.25">
      <c r="A41" s="8" t="s">
        <v>177</v>
      </c>
      <c r="B41" s="2" t="s">
        <v>178</v>
      </c>
      <c r="C41" s="4">
        <v>2</v>
      </c>
      <c r="D41" s="6">
        <v>10.35</v>
      </c>
      <c r="E41" s="6">
        <v>20.7</v>
      </c>
      <c r="F41" s="9">
        <v>19.989999999999998</v>
      </c>
      <c r="G41" s="6">
        <v>39.979999999999997</v>
      </c>
      <c r="H41" s="4">
        <v>45997</v>
      </c>
      <c r="I41" s="2" t="s">
        <v>2430</v>
      </c>
      <c r="J41" s="10"/>
      <c r="K41" s="6"/>
      <c r="L41" s="6"/>
      <c r="M41" s="2" t="s">
        <v>1970</v>
      </c>
      <c r="N41" s="2" t="s">
        <v>2012</v>
      </c>
      <c r="O41" s="2" t="s">
        <v>2203</v>
      </c>
      <c r="P41" s="2" t="s">
        <v>1988</v>
      </c>
      <c r="Q41" s="2" t="s">
        <v>1995</v>
      </c>
      <c r="R41" s="11" t="str">
        <f>HYPERLINK("http://slimages.macys.com/is/image/MCY/10006710 ")</f>
        <v xml:space="preserve">http://slimages.macys.com/is/image/MCY/10006710 </v>
      </c>
    </row>
    <row r="42" spans="1:18" ht="24.75" x14ac:dyDescent="0.25">
      <c r="A42" s="8" t="s">
        <v>179</v>
      </c>
      <c r="B42" s="2" t="s">
        <v>180</v>
      </c>
      <c r="C42" s="4">
        <v>2</v>
      </c>
      <c r="D42" s="6">
        <v>10.25</v>
      </c>
      <c r="E42" s="6">
        <v>20.5</v>
      </c>
      <c r="F42" s="9">
        <v>36.99</v>
      </c>
      <c r="G42" s="6">
        <v>73.98</v>
      </c>
      <c r="H42" s="4" t="s">
        <v>181</v>
      </c>
      <c r="I42" s="2" t="s">
        <v>2026</v>
      </c>
      <c r="J42" s="10"/>
      <c r="K42" s="6"/>
      <c r="L42" s="6"/>
      <c r="M42" s="2" t="s">
        <v>1970</v>
      </c>
      <c r="N42" s="2" t="s">
        <v>2012</v>
      </c>
      <c r="O42" s="2" t="s">
        <v>2062</v>
      </c>
      <c r="P42" s="2" t="s">
        <v>1988</v>
      </c>
      <c r="Q42" s="2" t="s">
        <v>2688</v>
      </c>
      <c r="R42" s="11" t="str">
        <f>HYPERLINK("http://slimages.macys.com/is/image/MCY/12265174 ")</f>
        <v xml:space="preserve">http://slimages.macys.com/is/image/MCY/12265174 </v>
      </c>
    </row>
    <row r="43" spans="1:18" ht="24.75" x14ac:dyDescent="0.25">
      <c r="A43" s="8" t="s">
        <v>182</v>
      </c>
      <c r="B43" s="2" t="s">
        <v>183</v>
      </c>
      <c r="C43" s="4">
        <v>1</v>
      </c>
      <c r="D43" s="6">
        <v>9.09</v>
      </c>
      <c r="E43" s="6">
        <v>9.09</v>
      </c>
      <c r="F43" s="9">
        <v>19.989999999999998</v>
      </c>
      <c r="G43" s="6">
        <v>19.989999999999998</v>
      </c>
      <c r="H43" s="4" t="s">
        <v>184</v>
      </c>
      <c r="I43" s="2" t="s">
        <v>2087</v>
      </c>
      <c r="J43" s="10" t="s">
        <v>2326</v>
      </c>
      <c r="K43" s="6"/>
      <c r="L43" s="6"/>
      <c r="M43" s="2" t="s">
        <v>1970</v>
      </c>
      <c r="N43" s="2" t="s">
        <v>2093</v>
      </c>
      <c r="O43" s="2" t="s">
        <v>2094</v>
      </c>
      <c r="P43" s="2" t="s">
        <v>2335</v>
      </c>
      <c r="Q43" s="2" t="s">
        <v>2305</v>
      </c>
      <c r="R43" s="11" t="str">
        <f>HYPERLINK("http://slimages.macys.com/is/image/MCY/3878731 ")</f>
        <v xml:space="preserve">http://slimages.macys.com/is/image/MCY/3878731 </v>
      </c>
    </row>
    <row r="44" spans="1:18" ht="36.75" x14ac:dyDescent="0.25">
      <c r="A44" s="8" t="s">
        <v>185</v>
      </c>
      <c r="B44" s="2" t="s">
        <v>186</v>
      </c>
      <c r="C44" s="4">
        <v>2</v>
      </c>
      <c r="D44" s="6">
        <v>9.52</v>
      </c>
      <c r="E44" s="6">
        <v>19.04</v>
      </c>
      <c r="F44" s="9">
        <v>23.99</v>
      </c>
      <c r="G44" s="6">
        <v>47.98</v>
      </c>
      <c r="H44" s="4" t="s">
        <v>187</v>
      </c>
      <c r="I44" s="2" t="s">
        <v>2087</v>
      </c>
      <c r="J44" s="10"/>
      <c r="K44" s="6"/>
      <c r="L44" s="6"/>
      <c r="M44" s="2" t="s">
        <v>1970</v>
      </c>
      <c r="N44" s="2" t="s">
        <v>2012</v>
      </c>
      <c r="O44" s="2" t="s">
        <v>1987</v>
      </c>
      <c r="P44" s="2" t="s">
        <v>1988</v>
      </c>
      <c r="Q44" s="2" t="s">
        <v>188</v>
      </c>
      <c r="R44" s="11" t="str">
        <f>HYPERLINK("http://slimages.macys.com/is/image/MCY/9548988 ")</f>
        <v xml:space="preserve">http://slimages.macys.com/is/image/MCY/9548988 </v>
      </c>
    </row>
    <row r="45" spans="1:18" ht="24.75" x14ac:dyDescent="0.25">
      <c r="A45" s="8" t="s">
        <v>189</v>
      </c>
      <c r="B45" s="2" t="s">
        <v>31</v>
      </c>
      <c r="C45" s="4">
        <v>1</v>
      </c>
      <c r="D45" s="6">
        <v>9.4600000000000009</v>
      </c>
      <c r="E45" s="6">
        <v>9.4600000000000009</v>
      </c>
      <c r="F45" s="9">
        <v>34.99</v>
      </c>
      <c r="G45" s="6">
        <v>34.99</v>
      </c>
      <c r="H45" s="4" t="s">
        <v>32</v>
      </c>
      <c r="I45" s="2" t="s">
        <v>2162</v>
      </c>
      <c r="J45" s="10"/>
      <c r="K45" s="6"/>
      <c r="L45" s="6"/>
      <c r="M45" s="2" t="s">
        <v>1970</v>
      </c>
      <c r="N45" s="2" t="s">
        <v>2386</v>
      </c>
      <c r="O45" s="2" t="s">
        <v>2387</v>
      </c>
      <c r="P45" s="2" t="s">
        <v>1988</v>
      </c>
      <c r="Q45" s="2" t="s">
        <v>1995</v>
      </c>
      <c r="R45" s="11" t="str">
        <f>HYPERLINK("http://slimages.macys.com/is/image/MCY/14601403 ")</f>
        <v xml:space="preserve">http://slimages.macys.com/is/image/MCY/14601403 </v>
      </c>
    </row>
    <row r="46" spans="1:18" ht="24.75" x14ac:dyDescent="0.25">
      <c r="A46" s="8" t="s">
        <v>190</v>
      </c>
      <c r="B46" s="2" t="s">
        <v>191</v>
      </c>
      <c r="C46" s="4">
        <v>2</v>
      </c>
      <c r="D46" s="6">
        <v>9.17</v>
      </c>
      <c r="E46" s="6">
        <v>18.34</v>
      </c>
      <c r="F46" s="9">
        <v>29.99</v>
      </c>
      <c r="G46" s="6">
        <v>59.98</v>
      </c>
      <c r="H46" s="4">
        <v>100061672</v>
      </c>
      <c r="I46" s="2" t="s">
        <v>2162</v>
      </c>
      <c r="J46" s="10" t="s">
        <v>2425</v>
      </c>
      <c r="K46" s="6"/>
      <c r="L46" s="6"/>
      <c r="M46" s="2" t="s">
        <v>1970</v>
      </c>
      <c r="N46" s="2" t="s">
        <v>2295</v>
      </c>
      <c r="O46" s="2" t="s">
        <v>192</v>
      </c>
      <c r="P46" s="2" t="s">
        <v>1988</v>
      </c>
      <c r="Q46" s="2" t="s">
        <v>2063</v>
      </c>
      <c r="R46" s="11" t="str">
        <f>HYPERLINK("http://slimages.macys.com/is/image/MCY/14815965 ")</f>
        <v xml:space="preserve">http://slimages.macys.com/is/image/MCY/14815965 </v>
      </c>
    </row>
    <row r="47" spans="1:18" ht="24.75" x14ac:dyDescent="0.25">
      <c r="A47" s="8" t="s">
        <v>193</v>
      </c>
      <c r="B47" s="2" t="s">
        <v>194</v>
      </c>
      <c r="C47" s="4">
        <v>8</v>
      </c>
      <c r="D47" s="6">
        <v>7.44</v>
      </c>
      <c r="E47" s="6">
        <v>59.52</v>
      </c>
      <c r="F47" s="9">
        <v>16.989999999999998</v>
      </c>
      <c r="G47" s="6">
        <v>135.91999999999999</v>
      </c>
      <c r="H47" s="4">
        <v>703444</v>
      </c>
      <c r="I47" s="2" t="s">
        <v>2087</v>
      </c>
      <c r="J47" s="10" t="s">
        <v>195</v>
      </c>
      <c r="K47" s="6"/>
      <c r="L47" s="6"/>
      <c r="M47" s="2" t="s">
        <v>1970</v>
      </c>
      <c r="N47" s="2" t="s">
        <v>2012</v>
      </c>
      <c r="O47" s="2" t="s">
        <v>2088</v>
      </c>
      <c r="P47" s="2" t="s">
        <v>1988</v>
      </c>
      <c r="Q47" s="2" t="s">
        <v>1995</v>
      </c>
      <c r="R47" s="11" t="str">
        <f>HYPERLINK("http://slimages.macys.com/is/image/MCY/821775 ")</f>
        <v xml:space="preserve">http://slimages.macys.com/is/image/MCY/821775 </v>
      </c>
    </row>
    <row r="48" spans="1:18" ht="24.75" x14ac:dyDescent="0.25">
      <c r="A48" s="8" t="s">
        <v>196</v>
      </c>
      <c r="B48" s="2" t="s">
        <v>197</v>
      </c>
      <c r="C48" s="4">
        <v>2</v>
      </c>
      <c r="D48" s="6">
        <v>5.54</v>
      </c>
      <c r="E48" s="6">
        <v>11.08</v>
      </c>
      <c r="F48" s="9">
        <v>19.989999999999998</v>
      </c>
      <c r="G48" s="6">
        <v>39.979999999999997</v>
      </c>
      <c r="H48" s="4" t="s">
        <v>198</v>
      </c>
      <c r="I48" s="2" t="s">
        <v>2071</v>
      </c>
      <c r="J48" s="10" t="s">
        <v>199</v>
      </c>
      <c r="K48" s="6"/>
      <c r="L48" s="6"/>
      <c r="M48" s="2" t="s">
        <v>1970</v>
      </c>
      <c r="N48" s="2" t="s">
        <v>2012</v>
      </c>
      <c r="O48" s="2" t="s">
        <v>2062</v>
      </c>
      <c r="P48" s="2" t="s">
        <v>1988</v>
      </c>
      <c r="Q48" s="2" t="s">
        <v>2063</v>
      </c>
      <c r="R48" s="11" t="str">
        <f>HYPERLINK("http://slimages.macys.com/is/image/MCY/12265086 ")</f>
        <v xml:space="preserve">http://slimages.macys.com/is/image/MCY/12265086 </v>
      </c>
    </row>
    <row r="49" spans="1:18" ht="24.75" x14ac:dyDescent="0.25">
      <c r="A49" s="8" t="s">
        <v>200</v>
      </c>
      <c r="B49" s="2" t="s">
        <v>183</v>
      </c>
      <c r="C49" s="4">
        <v>2</v>
      </c>
      <c r="D49" s="6">
        <v>4.09</v>
      </c>
      <c r="E49" s="6">
        <v>8.18</v>
      </c>
      <c r="F49" s="9">
        <v>9.99</v>
      </c>
      <c r="G49" s="6">
        <v>19.98</v>
      </c>
      <c r="H49" s="4" t="s">
        <v>201</v>
      </c>
      <c r="I49" s="2" t="s">
        <v>2087</v>
      </c>
      <c r="J49" s="10" t="s">
        <v>861</v>
      </c>
      <c r="K49" s="6"/>
      <c r="L49" s="6"/>
      <c r="M49" s="2" t="s">
        <v>1970</v>
      </c>
      <c r="N49" s="2" t="s">
        <v>2093</v>
      </c>
      <c r="O49" s="2" t="s">
        <v>2094</v>
      </c>
      <c r="P49" s="2" t="s">
        <v>2335</v>
      </c>
      <c r="Q49" s="2" t="s">
        <v>2305</v>
      </c>
      <c r="R49" s="11" t="str">
        <f>HYPERLINK("http://slimages.macys.com/is/image/MCY/3878731 ")</f>
        <v xml:space="preserve">http://slimages.macys.com/is/image/MCY/3878731 </v>
      </c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49"/>
  <sheetViews>
    <sheetView topLeftCell="A38" workbookViewId="0">
      <selection activeCell="H58" sqref="H58"/>
    </sheetView>
  </sheetViews>
  <sheetFormatPr defaultRowHeight="15" x14ac:dyDescent="0.25"/>
  <cols>
    <col min="1" max="1" width="14.28515625" customWidth="1"/>
    <col min="2" max="2" width="51.42578125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7.140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202</v>
      </c>
      <c r="B2" s="2" t="s">
        <v>203</v>
      </c>
      <c r="C2" s="4">
        <v>1</v>
      </c>
      <c r="D2" s="6">
        <v>104.65</v>
      </c>
      <c r="E2" s="6">
        <v>104.65</v>
      </c>
      <c r="F2" s="9">
        <v>249.99</v>
      </c>
      <c r="G2" s="6">
        <v>249.99</v>
      </c>
      <c r="H2" s="4" t="s">
        <v>204</v>
      </c>
      <c r="I2" s="2" t="s">
        <v>2294</v>
      </c>
      <c r="J2" s="10"/>
      <c r="K2" s="6"/>
      <c r="L2" s="6"/>
      <c r="M2" s="2" t="s">
        <v>1970</v>
      </c>
      <c r="N2" s="2" t="s">
        <v>2626</v>
      </c>
      <c r="O2" s="2" t="s">
        <v>1053</v>
      </c>
      <c r="P2" s="2" t="s">
        <v>1988</v>
      </c>
      <c r="Q2" s="2" t="s">
        <v>2063</v>
      </c>
      <c r="R2" s="11" t="str">
        <f>HYPERLINK("http://slimages.macys.com/is/image/MCY/11719559 ")</f>
        <v xml:space="preserve">http://slimages.macys.com/is/image/MCY/11719559 </v>
      </c>
    </row>
    <row r="3" spans="1:18" ht="168.75" x14ac:dyDescent="0.25">
      <c r="A3" s="8" t="s">
        <v>205</v>
      </c>
      <c r="B3" s="2" t="s">
        <v>206</v>
      </c>
      <c r="C3" s="4">
        <v>1</v>
      </c>
      <c r="D3" s="6">
        <v>90.41</v>
      </c>
      <c r="E3" s="6">
        <v>90.41</v>
      </c>
      <c r="F3" s="9">
        <v>244.99</v>
      </c>
      <c r="G3" s="6">
        <v>244.99</v>
      </c>
      <c r="H3" s="4" t="s">
        <v>207</v>
      </c>
      <c r="I3" s="2" t="s">
        <v>2189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1200</v>
      </c>
      <c r="R3" s="11" t="str">
        <f>HYPERLINK("http://slimages.macys.com/is/image/MCY/9536261 ")</f>
        <v xml:space="preserve">http://slimages.macys.com/is/image/MCY/9536261 </v>
      </c>
    </row>
    <row r="4" spans="1:18" ht="24.75" x14ac:dyDescent="0.25">
      <c r="A4" s="8" t="s">
        <v>208</v>
      </c>
      <c r="B4" s="2" t="s">
        <v>209</v>
      </c>
      <c r="C4" s="4">
        <v>1</v>
      </c>
      <c r="D4" s="6">
        <v>86.1</v>
      </c>
      <c r="E4" s="6">
        <v>86.1</v>
      </c>
      <c r="F4" s="9">
        <v>276.99</v>
      </c>
      <c r="G4" s="6">
        <v>276.99</v>
      </c>
      <c r="H4" s="4" t="s">
        <v>210</v>
      </c>
      <c r="I4" s="2" t="s">
        <v>2120</v>
      </c>
      <c r="J4" s="10"/>
      <c r="K4" s="6"/>
      <c r="L4" s="6"/>
      <c r="M4" s="2" t="s">
        <v>1970</v>
      </c>
      <c r="N4" s="2" t="s">
        <v>2626</v>
      </c>
      <c r="O4" s="2" t="s">
        <v>880</v>
      </c>
      <c r="P4" s="2" t="s">
        <v>1988</v>
      </c>
      <c r="Q4" s="2" t="s">
        <v>2305</v>
      </c>
      <c r="R4" s="11" t="str">
        <f>HYPERLINK("http://slimages.macys.com/is/image/MCY/11494954 ")</f>
        <v xml:space="preserve">http://slimages.macys.com/is/image/MCY/11494954 </v>
      </c>
    </row>
    <row r="5" spans="1:18" ht="144.75" x14ac:dyDescent="0.25">
      <c r="A5" s="8" t="s">
        <v>211</v>
      </c>
      <c r="B5" s="2" t="s">
        <v>212</v>
      </c>
      <c r="C5" s="4">
        <v>1</v>
      </c>
      <c r="D5" s="6">
        <v>67.81</v>
      </c>
      <c r="E5" s="6">
        <v>67.81</v>
      </c>
      <c r="F5" s="9">
        <v>165.99</v>
      </c>
      <c r="G5" s="6">
        <v>165.99</v>
      </c>
      <c r="H5" s="4" t="s">
        <v>213</v>
      </c>
      <c r="I5" s="2" t="s">
        <v>1993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2746</v>
      </c>
      <c r="R5" s="11" t="str">
        <f>HYPERLINK("http://slimages.macys.com/is/image/MCY/11112476 ")</f>
        <v xml:space="preserve">http://slimages.macys.com/is/image/MCY/11112476 </v>
      </c>
    </row>
    <row r="6" spans="1:18" ht="60.75" x14ac:dyDescent="0.25">
      <c r="A6" s="8" t="s">
        <v>214</v>
      </c>
      <c r="B6" s="2" t="s">
        <v>215</v>
      </c>
      <c r="C6" s="4">
        <v>1</v>
      </c>
      <c r="D6" s="6">
        <v>53.68</v>
      </c>
      <c r="E6" s="6">
        <v>53.68</v>
      </c>
      <c r="F6" s="9">
        <v>192.99</v>
      </c>
      <c r="G6" s="6">
        <v>192.99</v>
      </c>
      <c r="H6" s="4">
        <v>80323</v>
      </c>
      <c r="I6" s="2" t="s">
        <v>2294</v>
      </c>
      <c r="J6" s="10"/>
      <c r="K6" s="6"/>
      <c r="L6" s="6"/>
      <c r="M6" s="2" t="s">
        <v>1970</v>
      </c>
      <c r="N6" s="2" t="s">
        <v>1986</v>
      </c>
      <c r="O6" s="2" t="s">
        <v>1999</v>
      </c>
      <c r="P6" s="2" t="s">
        <v>1988</v>
      </c>
      <c r="Q6" s="2" t="s">
        <v>2000</v>
      </c>
      <c r="R6" s="11" t="str">
        <f>HYPERLINK("http://slimages.macys.com/is/image/MCY/11686277 ")</f>
        <v xml:space="preserve">http://slimages.macys.com/is/image/MCY/11686277 </v>
      </c>
    </row>
    <row r="7" spans="1:18" ht="48.75" x14ac:dyDescent="0.25">
      <c r="A7" s="8" t="s">
        <v>216</v>
      </c>
      <c r="B7" s="2" t="s">
        <v>217</v>
      </c>
      <c r="C7" s="4">
        <v>1</v>
      </c>
      <c r="D7" s="6">
        <v>44.65</v>
      </c>
      <c r="E7" s="6">
        <v>44.65</v>
      </c>
      <c r="F7" s="9">
        <v>99.99</v>
      </c>
      <c r="G7" s="6">
        <v>99.99</v>
      </c>
      <c r="H7" s="4" t="s">
        <v>218</v>
      </c>
      <c r="I7" s="2" t="s">
        <v>2120</v>
      </c>
      <c r="J7" s="10"/>
      <c r="K7" s="6"/>
      <c r="L7" s="6"/>
      <c r="M7" s="2" t="s">
        <v>1970</v>
      </c>
      <c r="N7" s="2" t="s">
        <v>2012</v>
      </c>
      <c r="O7" s="2" t="s">
        <v>1987</v>
      </c>
      <c r="P7" s="2" t="s">
        <v>1988</v>
      </c>
      <c r="Q7" s="2" t="s">
        <v>219</v>
      </c>
      <c r="R7" s="11" t="str">
        <f>HYPERLINK("http://slimages.macys.com/is/image/MCY/9954286 ")</f>
        <v xml:space="preserve">http://slimages.macys.com/is/image/MCY/9954286 </v>
      </c>
    </row>
    <row r="8" spans="1:18" ht="144.75" x14ac:dyDescent="0.25">
      <c r="A8" s="8" t="s">
        <v>220</v>
      </c>
      <c r="B8" s="2" t="s">
        <v>221</v>
      </c>
      <c r="C8" s="4">
        <v>1</v>
      </c>
      <c r="D8" s="6">
        <v>52.07</v>
      </c>
      <c r="E8" s="6">
        <v>52.07</v>
      </c>
      <c r="F8" s="9">
        <v>139.99</v>
      </c>
      <c r="G8" s="6">
        <v>139.99</v>
      </c>
      <c r="H8" s="4" t="s">
        <v>222</v>
      </c>
      <c r="I8" s="2" t="s">
        <v>2120</v>
      </c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223</v>
      </c>
      <c r="R8" s="11" t="str">
        <f>HYPERLINK("http://slimages.macys.com/is/image/MCY/9627915 ")</f>
        <v xml:space="preserve">http://slimages.macys.com/is/image/MCY/9627915 </v>
      </c>
    </row>
    <row r="9" spans="1:18" ht="192.75" x14ac:dyDescent="0.25">
      <c r="A9" s="8" t="s">
        <v>224</v>
      </c>
      <c r="B9" s="2" t="s">
        <v>225</v>
      </c>
      <c r="C9" s="4">
        <v>1</v>
      </c>
      <c r="D9" s="6">
        <v>47.73</v>
      </c>
      <c r="E9" s="6">
        <v>47.73</v>
      </c>
      <c r="F9" s="9">
        <v>109.99</v>
      </c>
      <c r="G9" s="6">
        <v>109.99</v>
      </c>
      <c r="H9" s="4" t="s">
        <v>226</v>
      </c>
      <c r="I9" s="2" t="s">
        <v>2071</v>
      </c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227</v>
      </c>
      <c r="R9" s="11" t="str">
        <f>HYPERLINK("http://slimages.macys.com/is/image/MCY/8936712 ")</f>
        <v xml:space="preserve">http://slimages.macys.com/is/image/MCY/8936712 </v>
      </c>
    </row>
    <row r="10" spans="1:18" ht="24.75" x14ac:dyDescent="0.25">
      <c r="A10" s="8" t="s">
        <v>1926</v>
      </c>
      <c r="B10" s="2" t="s">
        <v>228</v>
      </c>
      <c r="C10" s="4">
        <v>2</v>
      </c>
      <c r="D10" s="6">
        <v>42.57</v>
      </c>
      <c r="E10" s="6">
        <v>85.14</v>
      </c>
      <c r="F10" s="9">
        <v>99.99</v>
      </c>
      <c r="G10" s="6">
        <v>199.98</v>
      </c>
      <c r="H10" s="4" t="s">
        <v>2385</v>
      </c>
      <c r="I10" s="2" t="s">
        <v>2603</v>
      </c>
      <c r="J10" s="10"/>
      <c r="K10" s="6"/>
      <c r="L10" s="6"/>
      <c r="M10" s="2" t="s">
        <v>1970</v>
      </c>
      <c r="N10" s="2" t="s">
        <v>2386</v>
      </c>
      <c r="O10" s="2" t="s">
        <v>2387</v>
      </c>
      <c r="P10" s="2" t="s">
        <v>1988</v>
      </c>
      <c r="Q10" s="2"/>
      <c r="R10" s="11" t="str">
        <f>HYPERLINK("http://slimages.macys.com/is/image/MCY/14607099 ")</f>
        <v xml:space="preserve">http://slimages.macys.com/is/image/MCY/14607099 </v>
      </c>
    </row>
    <row r="11" spans="1:18" ht="72.75" x14ac:dyDescent="0.25">
      <c r="A11" s="8" t="s">
        <v>229</v>
      </c>
      <c r="B11" s="2" t="s">
        <v>230</v>
      </c>
      <c r="C11" s="4">
        <v>1</v>
      </c>
      <c r="D11" s="6">
        <v>35.71</v>
      </c>
      <c r="E11" s="6">
        <v>35.71</v>
      </c>
      <c r="F11" s="9">
        <v>96.99</v>
      </c>
      <c r="G11" s="6">
        <v>96.99</v>
      </c>
      <c r="H11" s="4" t="s">
        <v>231</v>
      </c>
      <c r="I11" s="2" t="s">
        <v>1985</v>
      </c>
      <c r="J11" s="10"/>
      <c r="K11" s="6"/>
      <c r="L11" s="6"/>
      <c r="M11" s="2" t="s">
        <v>1970</v>
      </c>
      <c r="N11" s="2" t="s">
        <v>2012</v>
      </c>
      <c r="O11" s="2" t="s">
        <v>1987</v>
      </c>
      <c r="P11" s="2" t="s">
        <v>1988</v>
      </c>
      <c r="Q11" s="2" t="s">
        <v>2548</v>
      </c>
      <c r="R11" s="11" t="str">
        <f>HYPERLINK("http://slimages.macys.com/is/image/MCY/14431837 ")</f>
        <v xml:space="preserve">http://slimages.macys.com/is/image/MCY/14431837 </v>
      </c>
    </row>
    <row r="12" spans="1:18" ht="144.75" x14ac:dyDescent="0.25">
      <c r="A12" s="8" t="s">
        <v>232</v>
      </c>
      <c r="B12" s="2" t="s">
        <v>233</v>
      </c>
      <c r="C12" s="4">
        <v>1</v>
      </c>
      <c r="D12" s="6">
        <v>36.369999999999997</v>
      </c>
      <c r="E12" s="6">
        <v>36.369999999999997</v>
      </c>
      <c r="F12" s="9">
        <v>89.99</v>
      </c>
      <c r="G12" s="6">
        <v>89.99</v>
      </c>
      <c r="H12" s="4" t="s">
        <v>234</v>
      </c>
      <c r="I12" s="2" t="s">
        <v>2162</v>
      </c>
      <c r="J12" s="10"/>
      <c r="K12" s="6"/>
      <c r="L12" s="6"/>
      <c r="M12" s="2" t="s">
        <v>1970</v>
      </c>
      <c r="N12" s="2" t="s">
        <v>1986</v>
      </c>
      <c r="O12" s="2" t="s">
        <v>1987</v>
      </c>
      <c r="P12" s="2" t="s">
        <v>1988</v>
      </c>
      <c r="Q12" s="2" t="s">
        <v>235</v>
      </c>
      <c r="R12" s="11" t="str">
        <f>HYPERLINK("http://slimages.macys.com/is/image/MCY/8927467 ")</f>
        <v xml:space="preserve">http://slimages.macys.com/is/image/MCY/8927467 </v>
      </c>
    </row>
    <row r="13" spans="1:18" ht="72.75" x14ac:dyDescent="0.25">
      <c r="A13" s="8" t="s">
        <v>2545</v>
      </c>
      <c r="B13" s="2" t="s">
        <v>2546</v>
      </c>
      <c r="C13" s="4">
        <v>1</v>
      </c>
      <c r="D13" s="6">
        <v>26.78</v>
      </c>
      <c r="E13" s="6">
        <v>26.78</v>
      </c>
      <c r="F13" s="9">
        <v>72.989999999999995</v>
      </c>
      <c r="G13" s="6">
        <v>72.989999999999995</v>
      </c>
      <c r="H13" s="4" t="s">
        <v>2547</v>
      </c>
      <c r="I13" s="2" t="s">
        <v>1985</v>
      </c>
      <c r="J13" s="10"/>
      <c r="K13" s="6"/>
      <c r="L13" s="6"/>
      <c r="M13" s="2" t="s">
        <v>1970</v>
      </c>
      <c r="N13" s="2" t="s">
        <v>2012</v>
      </c>
      <c r="O13" s="2" t="s">
        <v>1987</v>
      </c>
      <c r="P13" s="2" t="s">
        <v>1988</v>
      </c>
      <c r="Q13" s="2" t="s">
        <v>2548</v>
      </c>
      <c r="R13" s="11" t="str">
        <f>HYPERLINK("http://slimages.macys.com/is/image/MCY/14431828 ")</f>
        <v xml:space="preserve">http://slimages.macys.com/is/image/MCY/14431828 </v>
      </c>
    </row>
    <row r="14" spans="1:18" ht="24.75" x14ac:dyDescent="0.25">
      <c r="A14" s="8" t="s">
        <v>236</v>
      </c>
      <c r="B14" s="2" t="s">
        <v>237</v>
      </c>
      <c r="C14" s="4">
        <v>1</v>
      </c>
      <c r="D14" s="6">
        <v>23</v>
      </c>
      <c r="E14" s="6">
        <v>23</v>
      </c>
      <c r="F14" s="9">
        <v>49.99</v>
      </c>
      <c r="G14" s="6">
        <v>49.99</v>
      </c>
      <c r="H14" s="4" t="s">
        <v>238</v>
      </c>
      <c r="I14" s="2" t="s">
        <v>2026</v>
      </c>
      <c r="J14" s="10" t="s">
        <v>1175</v>
      </c>
      <c r="K14" s="6"/>
      <c r="L14" s="6"/>
      <c r="M14" s="2" t="s">
        <v>1970</v>
      </c>
      <c r="N14" s="2" t="s">
        <v>2626</v>
      </c>
      <c r="O14" s="2" t="s">
        <v>1053</v>
      </c>
      <c r="P14" s="2" t="s">
        <v>1988</v>
      </c>
      <c r="Q14" s="2" t="s">
        <v>2063</v>
      </c>
      <c r="R14" s="11" t="str">
        <f>HYPERLINK("http://slimages.macys.com/is/image/MCY/11110164 ")</f>
        <v xml:space="preserve">http://slimages.macys.com/is/image/MCY/11110164 </v>
      </c>
    </row>
    <row r="15" spans="1:18" ht="24.75" x14ac:dyDescent="0.25">
      <c r="A15" s="8" t="s">
        <v>239</v>
      </c>
      <c r="B15" s="2" t="s">
        <v>240</v>
      </c>
      <c r="C15" s="4">
        <v>1</v>
      </c>
      <c r="D15" s="6">
        <v>22.25</v>
      </c>
      <c r="E15" s="6">
        <v>22.25</v>
      </c>
      <c r="F15" s="9">
        <v>39.99</v>
      </c>
      <c r="G15" s="6">
        <v>39.99</v>
      </c>
      <c r="H15" s="4" t="s">
        <v>241</v>
      </c>
      <c r="I15" s="2" t="s">
        <v>2071</v>
      </c>
      <c r="J15" s="10"/>
      <c r="K15" s="6"/>
      <c r="L15" s="6"/>
      <c r="M15" s="2" t="s">
        <v>1970</v>
      </c>
      <c r="N15" s="2" t="s">
        <v>805</v>
      </c>
      <c r="O15" s="2" t="s">
        <v>1498</v>
      </c>
      <c r="P15" s="2" t="s">
        <v>1988</v>
      </c>
      <c r="Q15" s="2" t="s">
        <v>2688</v>
      </c>
      <c r="R15" s="11" t="str">
        <f>HYPERLINK("http://slimages.macys.com/is/image/MCY/9483201 ")</f>
        <v xml:space="preserve">http://slimages.macys.com/is/image/MCY/9483201 </v>
      </c>
    </row>
    <row r="16" spans="1:18" ht="24.75" x14ac:dyDescent="0.25">
      <c r="A16" s="8" t="s">
        <v>2557</v>
      </c>
      <c r="B16" s="2" t="s">
        <v>2558</v>
      </c>
      <c r="C16" s="4">
        <v>1</v>
      </c>
      <c r="D16" s="6">
        <v>18</v>
      </c>
      <c r="E16" s="6">
        <v>18</v>
      </c>
      <c r="F16" s="9">
        <v>39.99</v>
      </c>
      <c r="G16" s="6">
        <v>39.99</v>
      </c>
      <c r="H16" s="4" t="s">
        <v>2559</v>
      </c>
      <c r="I16" s="2" t="s">
        <v>2560</v>
      </c>
      <c r="J16" s="10" t="s">
        <v>2425</v>
      </c>
      <c r="K16" s="6"/>
      <c r="L16" s="6"/>
      <c r="M16" s="2" t="s">
        <v>1970</v>
      </c>
      <c r="N16" s="2" t="s">
        <v>2012</v>
      </c>
      <c r="O16" s="2" t="s">
        <v>2426</v>
      </c>
      <c r="P16" s="2" t="s">
        <v>1988</v>
      </c>
      <c r="Q16" s="2"/>
      <c r="R16" s="11" t="str">
        <f>HYPERLINK("http://slimages.macys.com/is/image/MCY/16008352 ")</f>
        <v xml:space="preserve">http://slimages.macys.com/is/image/MCY/16008352 </v>
      </c>
    </row>
    <row r="17" spans="1:18" ht="24.75" x14ac:dyDescent="0.25">
      <c r="A17" s="8" t="s">
        <v>242</v>
      </c>
      <c r="B17" s="2" t="s">
        <v>243</v>
      </c>
      <c r="C17" s="4">
        <v>1</v>
      </c>
      <c r="D17" s="6">
        <v>20.48</v>
      </c>
      <c r="E17" s="6">
        <v>20.48</v>
      </c>
      <c r="F17" s="9">
        <v>49.99</v>
      </c>
      <c r="G17" s="6">
        <v>49.99</v>
      </c>
      <c r="H17" s="4" t="s">
        <v>244</v>
      </c>
      <c r="I17" s="2" t="s">
        <v>2294</v>
      </c>
      <c r="J17" s="10" t="s">
        <v>1052</v>
      </c>
      <c r="K17" s="6"/>
      <c r="L17" s="6"/>
      <c r="M17" s="2" t="s">
        <v>1970</v>
      </c>
      <c r="N17" s="2" t="s">
        <v>2626</v>
      </c>
      <c r="O17" s="2" t="s">
        <v>1053</v>
      </c>
      <c r="P17" s="2" t="s">
        <v>1988</v>
      </c>
      <c r="Q17" s="2" t="s">
        <v>2063</v>
      </c>
      <c r="R17" s="11" t="str">
        <f>HYPERLINK("http://slimages.macys.com/is/image/MCY/11719572 ")</f>
        <v xml:space="preserve">http://slimages.macys.com/is/image/MCY/11719572 </v>
      </c>
    </row>
    <row r="18" spans="1:18" ht="24.75" x14ac:dyDescent="0.25">
      <c r="A18" s="8" t="s">
        <v>245</v>
      </c>
      <c r="B18" s="2" t="s">
        <v>246</v>
      </c>
      <c r="C18" s="4">
        <v>2</v>
      </c>
      <c r="D18" s="6">
        <v>20.48</v>
      </c>
      <c r="E18" s="6">
        <v>40.96</v>
      </c>
      <c r="F18" s="9">
        <v>49.99</v>
      </c>
      <c r="G18" s="6">
        <v>99.98</v>
      </c>
      <c r="H18" s="4" t="s">
        <v>247</v>
      </c>
      <c r="I18" s="2" t="s">
        <v>2294</v>
      </c>
      <c r="J18" s="10" t="s">
        <v>1175</v>
      </c>
      <c r="K18" s="6"/>
      <c r="L18" s="6"/>
      <c r="M18" s="2" t="s">
        <v>1970</v>
      </c>
      <c r="N18" s="2" t="s">
        <v>2626</v>
      </c>
      <c r="O18" s="2" t="s">
        <v>1053</v>
      </c>
      <c r="P18" s="2" t="s">
        <v>1988</v>
      </c>
      <c r="Q18" s="2" t="s">
        <v>1995</v>
      </c>
      <c r="R18" s="11" t="str">
        <f>HYPERLINK("http://slimages.macys.com/is/image/MCY/11719575 ")</f>
        <v xml:space="preserve">http://slimages.macys.com/is/image/MCY/11719575 </v>
      </c>
    </row>
    <row r="19" spans="1:18" ht="24.75" x14ac:dyDescent="0.25">
      <c r="A19" s="8" t="s">
        <v>248</v>
      </c>
      <c r="B19" s="2" t="s">
        <v>249</v>
      </c>
      <c r="C19" s="4">
        <v>1</v>
      </c>
      <c r="D19" s="6">
        <v>20.02</v>
      </c>
      <c r="E19" s="6">
        <v>20.02</v>
      </c>
      <c r="F19" s="9">
        <v>39.99</v>
      </c>
      <c r="G19" s="6">
        <v>39.99</v>
      </c>
      <c r="H19" s="4" t="s">
        <v>250</v>
      </c>
      <c r="I19" s="2" t="s">
        <v>2294</v>
      </c>
      <c r="J19" s="10" t="s">
        <v>2425</v>
      </c>
      <c r="K19" s="6"/>
      <c r="L19" s="6"/>
      <c r="M19" s="2" t="s">
        <v>1970</v>
      </c>
      <c r="N19" s="2" t="s">
        <v>2626</v>
      </c>
      <c r="O19" s="2" t="s">
        <v>1053</v>
      </c>
      <c r="P19" s="2" t="s">
        <v>1988</v>
      </c>
      <c r="Q19" s="2" t="s">
        <v>2063</v>
      </c>
      <c r="R19" s="11" t="str">
        <f>HYPERLINK("http://slimages.macys.com/is/image/MCY/11719578 ")</f>
        <v xml:space="preserve">http://slimages.macys.com/is/image/MCY/11719578 </v>
      </c>
    </row>
    <row r="20" spans="1:18" ht="24.75" x14ac:dyDescent="0.25">
      <c r="A20" s="8" t="s">
        <v>2561</v>
      </c>
      <c r="B20" s="2" t="s">
        <v>2562</v>
      </c>
      <c r="C20" s="4">
        <v>2</v>
      </c>
      <c r="D20" s="6">
        <v>16.78</v>
      </c>
      <c r="E20" s="6">
        <v>33.56</v>
      </c>
      <c r="F20" s="9">
        <v>41.99</v>
      </c>
      <c r="G20" s="6">
        <v>83.98</v>
      </c>
      <c r="H20" s="4" t="s">
        <v>2563</v>
      </c>
      <c r="I20" s="2" t="s">
        <v>2026</v>
      </c>
      <c r="J20" s="10" t="s">
        <v>2564</v>
      </c>
      <c r="K20" s="6"/>
      <c r="L20" s="6"/>
      <c r="M20" s="2" t="s">
        <v>1970</v>
      </c>
      <c r="N20" s="2" t="s">
        <v>2005</v>
      </c>
      <c r="O20" s="2" t="s">
        <v>2038</v>
      </c>
      <c r="P20" s="2" t="s">
        <v>1988</v>
      </c>
      <c r="Q20" s="2" t="s">
        <v>2063</v>
      </c>
      <c r="R20" s="11" t="str">
        <f>HYPERLINK("http://slimages.macys.com/is/image/MCY/11798747 ")</f>
        <v xml:space="preserve">http://slimages.macys.com/is/image/MCY/11798747 </v>
      </c>
    </row>
    <row r="21" spans="1:18" ht="24.75" x14ac:dyDescent="0.25">
      <c r="A21" s="8" t="s">
        <v>251</v>
      </c>
      <c r="B21" s="2" t="s">
        <v>252</v>
      </c>
      <c r="C21" s="4">
        <v>1</v>
      </c>
      <c r="D21" s="6">
        <v>19</v>
      </c>
      <c r="E21" s="6">
        <v>19</v>
      </c>
      <c r="F21" s="9">
        <v>79.989999999999995</v>
      </c>
      <c r="G21" s="6">
        <v>79.989999999999995</v>
      </c>
      <c r="H21" s="4" t="s">
        <v>253</v>
      </c>
      <c r="I21" s="2" t="s">
        <v>2937</v>
      </c>
      <c r="J21" s="10"/>
      <c r="K21" s="6"/>
      <c r="L21" s="6"/>
      <c r="M21" s="2" t="s">
        <v>1970</v>
      </c>
      <c r="N21" s="2" t="s">
        <v>2684</v>
      </c>
      <c r="O21" s="2" t="s">
        <v>1586</v>
      </c>
      <c r="P21" s="2" t="s">
        <v>1988</v>
      </c>
      <c r="Q21" s="2" t="s">
        <v>2095</v>
      </c>
      <c r="R21" s="11" t="str">
        <f>HYPERLINK("http://slimages.macys.com/is/image/MCY/8036109 ")</f>
        <v xml:space="preserve">http://slimages.macys.com/is/image/MCY/8036109 </v>
      </c>
    </row>
    <row r="22" spans="1:18" ht="24.75" x14ac:dyDescent="0.25">
      <c r="A22" s="8" t="s">
        <v>254</v>
      </c>
      <c r="B22" s="2" t="s">
        <v>255</v>
      </c>
      <c r="C22" s="4">
        <v>1</v>
      </c>
      <c r="D22" s="6">
        <v>14.55</v>
      </c>
      <c r="E22" s="6">
        <v>14.55</v>
      </c>
      <c r="F22" s="9">
        <v>39.99</v>
      </c>
      <c r="G22" s="6">
        <v>39.99</v>
      </c>
      <c r="H22" s="4" t="s">
        <v>256</v>
      </c>
      <c r="I22" s="2" t="s">
        <v>2358</v>
      </c>
      <c r="J22" s="10"/>
      <c r="K22" s="6"/>
      <c r="L22" s="6"/>
      <c r="M22" s="2" t="s">
        <v>1970</v>
      </c>
      <c r="N22" s="2" t="s">
        <v>2184</v>
      </c>
      <c r="O22" s="2" t="s">
        <v>1987</v>
      </c>
      <c r="P22" s="2" t="s">
        <v>1988</v>
      </c>
      <c r="Q22" s="2" t="s">
        <v>257</v>
      </c>
      <c r="R22" s="11" t="str">
        <f>HYPERLINK("http://slimages.macys.com/is/image/MCY/10044363 ")</f>
        <v xml:space="preserve">http://slimages.macys.com/is/image/MCY/10044363 </v>
      </c>
    </row>
    <row r="23" spans="1:18" ht="24.75" x14ac:dyDescent="0.25">
      <c r="A23" s="8" t="s">
        <v>258</v>
      </c>
      <c r="B23" s="2" t="s">
        <v>259</v>
      </c>
      <c r="C23" s="4">
        <v>1</v>
      </c>
      <c r="D23" s="6">
        <v>16.5</v>
      </c>
      <c r="E23" s="6">
        <v>16.5</v>
      </c>
      <c r="F23" s="9">
        <v>39.99</v>
      </c>
      <c r="G23" s="6">
        <v>39.99</v>
      </c>
      <c r="H23" s="4" t="s">
        <v>260</v>
      </c>
      <c r="I23" s="2"/>
      <c r="J23" s="10"/>
      <c r="K23" s="6"/>
      <c r="L23" s="6"/>
      <c r="M23" s="2" t="s">
        <v>1970</v>
      </c>
      <c r="N23" s="2" t="s">
        <v>2626</v>
      </c>
      <c r="O23" s="2" t="s">
        <v>261</v>
      </c>
      <c r="P23" s="2" t="s">
        <v>1988</v>
      </c>
      <c r="Q23" s="2"/>
      <c r="R23" s="11" t="str">
        <f>HYPERLINK("http://slimages.macys.com/is/image/MCY/8687964 ")</f>
        <v xml:space="preserve">http://slimages.macys.com/is/image/MCY/8687964 </v>
      </c>
    </row>
    <row r="24" spans="1:18" ht="24.75" x14ac:dyDescent="0.25">
      <c r="A24" s="8" t="s">
        <v>2445</v>
      </c>
      <c r="B24" s="2" t="s">
        <v>262</v>
      </c>
      <c r="C24" s="4">
        <v>2</v>
      </c>
      <c r="D24" s="6">
        <v>13.9</v>
      </c>
      <c r="E24" s="6">
        <v>27.8</v>
      </c>
      <c r="F24" s="9">
        <v>29.99</v>
      </c>
      <c r="G24" s="6">
        <v>59.98</v>
      </c>
      <c r="H24" s="4" t="s">
        <v>2447</v>
      </c>
      <c r="I24" s="2"/>
      <c r="J24" s="10"/>
      <c r="K24" s="6"/>
      <c r="L24" s="6"/>
      <c r="M24" s="2" t="s">
        <v>1970</v>
      </c>
      <c r="N24" s="2" t="s">
        <v>2012</v>
      </c>
      <c r="O24" s="2" t="s">
        <v>2448</v>
      </c>
      <c r="P24" s="2" t="s">
        <v>1988</v>
      </c>
      <c r="Q24" s="2" t="s">
        <v>2449</v>
      </c>
      <c r="R24" s="11" t="str">
        <f>HYPERLINK("http://slimages.macys.com/is/image/MCY/16096291 ")</f>
        <v xml:space="preserve">http://slimages.macys.com/is/image/MCY/16096291 </v>
      </c>
    </row>
    <row r="25" spans="1:18" ht="96.75" x14ac:dyDescent="0.25">
      <c r="A25" s="8" t="s">
        <v>14</v>
      </c>
      <c r="B25" s="2" t="s">
        <v>263</v>
      </c>
      <c r="C25" s="4">
        <v>1</v>
      </c>
      <c r="D25" s="6">
        <v>11.16</v>
      </c>
      <c r="E25" s="6">
        <v>11.16</v>
      </c>
      <c r="F25" s="9">
        <v>24.99</v>
      </c>
      <c r="G25" s="6">
        <v>24.99</v>
      </c>
      <c r="H25" s="4" t="s">
        <v>16</v>
      </c>
      <c r="I25" s="2" t="s">
        <v>2120</v>
      </c>
      <c r="J25" s="10" t="s">
        <v>2072</v>
      </c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17</v>
      </c>
      <c r="R25" s="11" t="str">
        <f>HYPERLINK("http://slimages.macys.com/is/image/MCY/9602403 ")</f>
        <v xml:space="preserve">http://slimages.macys.com/is/image/MCY/9602403 </v>
      </c>
    </row>
    <row r="26" spans="1:18" ht="24.75" x14ac:dyDescent="0.25">
      <c r="A26" s="8" t="s">
        <v>264</v>
      </c>
      <c r="B26" s="2" t="s">
        <v>265</v>
      </c>
      <c r="C26" s="4">
        <v>1</v>
      </c>
      <c r="D26" s="6">
        <v>12.5</v>
      </c>
      <c r="E26" s="6">
        <v>12.5</v>
      </c>
      <c r="F26" s="9">
        <v>24.99</v>
      </c>
      <c r="G26" s="6">
        <v>24.99</v>
      </c>
      <c r="H26" s="4" t="s">
        <v>266</v>
      </c>
      <c r="I26" s="2" t="s">
        <v>2048</v>
      </c>
      <c r="J26" s="10"/>
      <c r="K26" s="6"/>
      <c r="L26" s="6"/>
      <c r="M26" s="2" t="s">
        <v>1970</v>
      </c>
      <c r="N26" s="2" t="s">
        <v>805</v>
      </c>
      <c r="O26" s="2" t="s">
        <v>1994</v>
      </c>
      <c r="P26" s="2" t="s">
        <v>1988</v>
      </c>
      <c r="Q26" s="2" t="s">
        <v>2063</v>
      </c>
      <c r="R26" s="11" t="str">
        <f>HYPERLINK("http://slimages.macys.com/is/image/MCY/9975011 ")</f>
        <v xml:space="preserve">http://slimages.macys.com/is/image/MCY/9975011 </v>
      </c>
    </row>
    <row r="27" spans="1:18" ht="24.75" x14ac:dyDescent="0.25">
      <c r="A27" s="8" t="s">
        <v>267</v>
      </c>
      <c r="B27" s="2" t="s">
        <v>268</v>
      </c>
      <c r="C27" s="4">
        <v>2</v>
      </c>
      <c r="D27" s="6">
        <v>12.35</v>
      </c>
      <c r="E27" s="6">
        <v>24.7</v>
      </c>
      <c r="F27" s="9">
        <v>39.99</v>
      </c>
      <c r="G27" s="6">
        <v>79.98</v>
      </c>
      <c r="H27" s="4" t="s">
        <v>269</v>
      </c>
      <c r="I27" s="2" t="s">
        <v>1985</v>
      </c>
      <c r="J27" s="10"/>
      <c r="K27" s="6"/>
      <c r="L27" s="6"/>
      <c r="M27" s="2" t="s">
        <v>1970</v>
      </c>
      <c r="N27" s="2" t="s">
        <v>2386</v>
      </c>
      <c r="O27" s="2" t="s">
        <v>2932</v>
      </c>
      <c r="P27" s="2" t="s">
        <v>1988</v>
      </c>
      <c r="Q27" s="2" t="s">
        <v>2095</v>
      </c>
      <c r="R27" s="11" t="str">
        <f>HYPERLINK("http://slimages.macys.com/is/image/MCY/11320819 ")</f>
        <v xml:space="preserve">http://slimages.macys.com/is/image/MCY/11320819 </v>
      </c>
    </row>
    <row r="28" spans="1:18" ht="24.75" x14ac:dyDescent="0.25">
      <c r="A28" s="8" t="s">
        <v>832</v>
      </c>
      <c r="B28" s="2" t="s">
        <v>833</v>
      </c>
      <c r="C28" s="4">
        <v>8</v>
      </c>
      <c r="D28" s="6">
        <v>12.33</v>
      </c>
      <c r="E28" s="6">
        <v>98.64</v>
      </c>
      <c r="F28" s="9">
        <v>29.99</v>
      </c>
      <c r="G28" s="6">
        <v>239.92</v>
      </c>
      <c r="H28" s="4" t="s">
        <v>834</v>
      </c>
      <c r="I28" s="2"/>
      <c r="J28" s="10"/>
      <c r="K28" s="6"/>
      <c r="L28" s="6"/>
      <c r="M28" s="2" t="s">
        <v>1970</v>
      </c>
      <c r="N28" s="2" t="s">
        <v>1986</v>
      </c>
      <c r="O28" s="2" t="s">
        <v>1994</v>
      </c>
      <c r="P28" s="2" t="s">
        <v>1988</v>
      </c>
      <c r="Q28" s="2" t="s">
        <v>1995</v>
      </c>
      <c r="R28" s="11" t="str">
        <f>HYPERLINK("http://slimages.macys.com/is/image/MCY/16344436 ")</f>
        <v xml:space="preserve">http://slimages.macys.com/is/image/MCY/16344436 </v>
      </c>
    </row>
    <row r="29" spans="1:18" ht="24.75" x14ac:dyDescent="0.25">
      <c r="A29" s="8" t="s">
        <v>2922</v>
      </c>
      <c r="B29" s="2" t="s">
        <v>270</v>
      </c>
      <c r="C29" s="4">
        <v>2</v>
      </c>
      <c r="D29" s="6">
        <v>8.8699999999999992</v>
      </c>
      <c r="E29" s="6">
        <v>17.739999999999998</v>
      </c>
      <c r="F29" s="9">
        <v>9.99</v>
      </c>
      <c r="G29" s="6">
        <v>19.98</v>
      </c>
      <c r="H29" s="4" t="s">
        <v>2924</v>
      </c>
      <c r="I29" s="2" t="s">
        <v>2031</v>
      </c>
      <c r="J29" s="10"/>
      <c r="K29" s="6"/>
      <c r="L29" s="6"/>
      <c r="M29" s="2" t="s">
        <v>1970</v>
      </c>
      <c r="N29" s="2" t="s">
        <v>2012</v>
      </c>
      <c r="O29" s="2" t="s">
        <v>2196</v>
      </c>
      <c r="P29" s="2" t="s">
        <v>1988</v>
      </c>
      <c r="Q29" s="2"/>
      <c r="R29" s="11" t="str">
        <f>HYPERLINK("http://slimages.macys.com/is/image/MCY/15383508 ")</f>
        <v xml:space="preserve">http://slimages.macys.com/is/image/MCY/15383508 </v>
      </c>
    </row>
    <row r="30" spans="1:18" ht="24.75" x14ac:dyDescent="0.25">
      <c r="A30" s="8" t="s">
        <v>271</v>
      </c>
      <c r="B30" s="2" t="s">
        <v>272</v>
      </c>
      <c r="C30" s="4">
        <v>1</v>
      </c>
      <c r="D30" s="6">
        <v>8.74</v>
      </c>
      <c r="E30" s="6">
        <v>8.74</v>
      </c>
      <c r="F30" s="9">
        <v>25.99</v>
      </c>
      <c r="G30" s="6">
        <v>25.99</v>
      </c>
      <c r="H30" s="4" t="s">
        <v>273</v>
      </c>
      <c r="I30" s="2" t="s">
        <v>2057</v>
      </c>
      <c r="J30" s="10"/>
      <c r="K30" s="6"/>
      <c r="L30" s="6"/>
      <c r="M30" s="2" t="s">
        <v>1970</v>
      </c>
      <c r="N30" s="2" t="s">
        <v>2012</v>
      </c>
      <c r="O30" s="2" t="s">
        <v>1514</v>
      </c>
      <c r="P30" s="2" t="s">
        <v>1988</v>
      </c>
      <c r="Q30" s="2" t="s">
        <v>2668</v>
      </c>
      <c r="R30" s="11" t="str">
        <f>HYPERLINK("http://slimages.macys.com/is/image/MCY/11461604 ")</f>
        <v xml:space="preserve">http://slimages.macys.com/is/image/MCY/11461604 </v>
      </c>
    </row>
    <row r="31" spans="1:18" ht="24.75" x14ac:dyDescent="0.25">
      <c r="A31" s="8" t="s">
        <v>274</v>
      </c>
      <c r="B31" s="2" t="s">
        <v>275</v>
      </c>
      <c r="C31" s="4">
        <v>1</v>
      </c>
      <c r="D31" s="6">
        <v>7.92</v>
      </c>
      <c r="E31" s="6">
        <v>7.92</v>
      </c>
      <c r="F31" s="9">
        <v>15.99</v>
      </c>
      <c r="G31" s="6">
        <v>15.99</v>
      </c>
      <c r="H31" s="4">
        <v>601555424024</v>
      </c>
      <c r="I31" s="2" t="s">
        <v>2026</v>
      </c>
      <c r="J31" s="10" t="s">
        <v>2326</v>
      </c>
      <c r="K31" s="6"/>
      <c r="L31" s="6"/>
      <c r="M31" s="2" t="s">
        <v>1970</v>
      </c>
      <c r="N31" s="2" t="s">
        <v>2093</v>
      </c>
      <c r="O31" s="2" t="s">
        <v>2351</v>
      </c>
      <c r="P31" s="2" t="s">
        <v>1988</v>
      </c>
      <c r="Q31" s="2" t="s">
        <v>2095</v>
      </c>
      <c r="R31" s="11" t="str">
        <f>HYPERLINK("http://slimages.macys.com/is/image/MCY/2844654 ")</f>
        <v xml:space="preserve">http://slimages.macys.com/is/image/MCY/2844654 </v>
      </c>
    </row>
    <row r="32" spans="1:18" ht="24.75" x14ac:dyDescent="0.25">
      <c r="A32" s="8" t="s">
        <v>276</v>
      </c>
      <c r="B32" s="2" t="s">
        <v>277</v>
      </c>
      <c r="C32" s="4">
        <v>1</v>
      </c>
      <c r="D32" s="6">
        <v>7.82</v>
      </c>
      <c r="E32" s="6">
        <v>7.82</v>
      </c>
      <c r="F32" s="9">
        <v>29.99</v>
      </c>
      <c r="G32" s="6">
        <v>29.99</v>
      </c>
      <c r="H32" s="4" t="s">
        <v>278</v>
      </c>
      <c r="I32" s="2" t="s">
        <v>2087</v>
      </c>
      <c r="J32" s="10"/>
      <c r="K32" s="6"/>
      <c r="L32" s="6"/>
      <c r="M32" s="2" t="s">
        <v>1970</v>
      </c>
      <c r="N32" s="2" t="s">
        <v>2386</v>
      </c>
      <c r="O32" s="2" t="s">
        <v>2932</v>
      </c>
      <c r="P32" s="2" t="s">
        <v>1988</v>
      </c>
      <c r="Q32" s="2" t="s">
        <v>279</v>
      </c>
      <c r="R32" s="11" t="str">
        <f>HYPERLINK("http://slimages.macys.com/is/image/MCY/14607258 ")</f>
        <v xml:space="preserve">http://slimages.macys.com/is/image/MCY/14607258 </v>
      </c>
    </row>
    <row r="33" spans="1:18" ht="24.75" x14ac:dyDescent="0.25">
      <c r="A33" s="8" t="s">
        <v>2934</v>
      </c>
      <c r="B33" s="2" t="s">
        <v>280</v>
      </c>
      <c r="C33" s="4">
        <v>3</v>
      </c>
      <c r="D33" s="6">
        <v>7.81</v>
      </c>
      <c r="E33" s="6">
        <v>23.43</v>
      </c>
      <c r="F33" s="9">
        <v>29.99</v>
      </c>
      <c r="G33" s="6">
        <v>89.97</v>
      </c>
      <c r="H33" s="4" t="s">
        <v>2936</v>
      </c>
      <c r="I33" s="2" t="s">
        <v>2937</v>
      </c>
      <c r="J33" s="10"/>
      <c r="K33" s="6"/>
      <c r="L33" s="6"/>
      <c r="M33" s="2" t="s">
        <v>1970</v>
      </c>
      <c r="N33" s="2" t="s">
        <v>2386</v>
      </c>
      <c r="O33" s="2" t="s">
        <v>2932</v>
      </c>
      <c r="P33" s="2" t="s">
        <v>1988</v>
      </c>
      <c r="Q33" s="2" t="s">
        <v>2095</v>
      </c>
      <c r="R33" s="11" t="str">
        <f>HYPERLINK("http://slimages.macys.com/is/image/MCY/9855045 ")</f>
        <v xml:space="preserve">http://slimages.macys.com/is/image/MCY/9855045 </v>
      </c>
    </row>
    <row r="34" spans="1:18" ht="24.75" x14ac:dyDescent="0.25">
      <c r="A34" s="8" t="s">
        <v>281</v>
      </c>
      <c r="B34" s="2" t="s">
        <v>282</v>
      </c>
      <c r="C34" s="4">
        <v>1</v>
      </c>
      <c r="D34" s="6">
        <v>5.94</v>
      </c>
      <c r="E34" s="6">
        <v>5.94</v>
      </c>
      <c r="F34" s="9">
        <v>11.99</v>
      </c>
      <c r="G34" s="6">
        <v>11.99</v>
      </c>
      <c r="H34" s="4">
        <v>601555467014</v>
      </c>
      <c r="I34" s="2" t="s">
        <v>2017</v>
      </c>
      <c r="J34" s="10" t="s">
        <v>2092</v>
      </c>
      <c r="K34" s="6"/>
      <c r="L34" s="6"/>
      <c r="M34" s="2" t="s">
        <v>1970</v>
      </c>
      <c r="N34" s="2" t="s">
        <v>2093</v>
      </c>
      <c r="O34" s="2" t="s">
        <v>2351</v>
      </c>
      <c r="P34" s="2" t="s">
        <v>1988</v>
      </c>
      <c r="Q34" s="2" t="s">
        <v>2305</v>
      </c>
      <c r="R34" s="11" t="str">
        <f>HYPERLINK("http://slimages.macys.com/is/image/MCY/2844654 ")</f>
        <v xml:space="preserve">http://slimages.macys.com/is/image/MCY/2844654 </v>
      </c>
    </row>
    <row r="35" spans="1:18" ht="24.75" x14ac:dyDescent="0.25">
      <c r="A35" s="8" t="s">
        <v>283</v>
      </c>
      <c r="B35" s="2" t="s">
        <v>284</v>
      </c>
      <c r="C35" s="4">
        <v>1</v>
      </c>
      <c r="D35" s="6">
        <v>6.88</v>
      </c>
      <c r="E35" s="6">
        <v>6.88</v>
      </c>
      <c r="F35" s="9">
        <v>29.99</v>
      </c>
      <c r="G35" s="6">
        <v>29.99</v>
      </c>
      <c r="H35" s="4" t="s">
        <v>285</v>
      </c>
      <c r="I35" s="2" t="s">
        <v>2424</v>
      </c>
      <c r="J35" s="10"/>
      <c r="K35" s="6"/>
      <c r="L35" s="6"/>
      <c r="M35" s="2" t="s">
        <v>1970</v>
      </c>
      <c r="N35" s="2" t="s">
        <v>2167</v>
      </c>
      <c r="O35" s="2" t="s">
        <v>2443</v>
      </c>
      <c r="P35" s="2" t="s">
        <v>1988</v>
      </c>
      <c r="Q35" s="2" t="s">
        <v>2095</v>
      </c>
      <c r="R35" s="11" t="str">
        <f>HYPERLINK("http://slimages.macys.com/is/image/MCY/8447369 ")</f>
        <v xml:space="preserve">http://slimages.macys.com/is/image/MCY/8447369 </v>
      </c>
    </row>
    <row r="36" spans="1:18" ht="24.75" x14ac:dyDescent="0.25">
      <c r="A36" s="8" t="s">
        <v>286</v>
      </c>
      <c r="B36" s="2" t="s">
        <v>287</v>
      </c>
      <c r="C36" s="4">
        <v>1</v>
      </c>
      <c r="D36" s="6">
        <v>5.27</v>
      </c>
      <c r="E36" s="6">
        <v>5.27</v>
      </c>
      <c r="F36" s="9">
        <v>12.99</v>
      </c>
      <c r="G36" s="6">
        <v>12.99</v>
      </c>
      <c r="H36" s="4" t="s">
        <v>288</v>
      </c>
      <c r="I36" s="2" t="s">
        <v>2017</v>
      </c>
      <c r="J36" s="10"/>
      <c r="K36" s="6"/>
      <c r="L36" s="6"/>
      <c r="M36" s="2" t="s">
        <v>1970</v>
      </c>
      <c r="N36" s="2" t="s">
        <v>2184</v>
      </c>
      <c r="O36" s="2" t="s">
        <v>1987</v>
      </c>
      <c r="P36" s="2" t="s">
        <v>1988</v>
      </c>
      <c r="Q36" s="2" t="s">
        <v>289</v>
      </c>
      <c r="R36" s="11" t="str">
        <f>HYPERLINK("http://slimages.macys.com/is/image/MCY/10094902 ")</f>
        <v xml:space="preserve">http://slimages.macys.com/is/image/MCY/10094902 </v>
      </c>
    </row>
    <row r="37" spans="1:18" ht="24.75" x14ac:dyDescent="0.25">
      <c r="A37" s="8" t="s">
        <v>290</v>
      </c>
      <c r="B37" s="2" t="s">
        <v>291</v>
      </c>
      <c r="C37" s="4">
        <v>2</v>
      </c>
      <c r="D37" s="6">
        <v>4.9000000000000004</v>
      </c>
      <c r="E37" s="6">
        <v>9.8000000000000007</v>
      </c>
      <c r="F37" s="9">
        <v>7.99</v>
      </c>
      <c r="G37" s="6">
        <v>15.98</v>
      </c>
      <c r="H37" s="4">
        <v>878244</v>
      </c>
      <c r="I37" s="2"/>
      <c r="J37" s="10" t="s">
        <v>2107</v>
      </c>
      <c r="K37" s="6"/>
      <c r="L37" s="6"/>
      <c r="M37" s="2" t="s">
        <v>1970</v>
      </c>
      <c r="N37" s="2" t="s">
        <v>2093</v>
      </c>
      <c r="O37" s="2" t="s">
        <v>1107</v>
      </c>
      <c r="P37" s="2" t="s">
        <v>1988</v>
      </c>
      <c r="Q37" s="2" t="s">
        <v>1108</v>
      </c>
      <c r="R37" s="11" t="str">
        <f>HYPERLINK("http://slimages.macys.com/is/image/MCY/11524652 ")</f>
        <v xml:space="preserve">http://slimages.macys.com/is/image/MCY/11524652 </v>
      </c>
    </row>
    <row r="38" spans="1:18" ht="24.75" x14ac:dyDescent="0.25">
      <c r="A38" s="8" t="s">
        <v>292</v>
      </c>
      <c r="B38" s="2" t="s">
        <v>293</v>
      </c>
      <c r="C38" s="4">
        <v>1</v>
      </c>
      <c r="D38" s="6">
        <v>4.9000000000000004</v>
      </c>
      <c r="E38" s="6">
        <v>4.9000000000000004</v>
      </c>
      <c r="F38" s="9">
        <v>7.99</v>
      </c>
      <c r="G38" s="6">
        <v>7.99</v>
      </c>
      <c r="H38" s="4">
        <v>878275</v>
      </c>
      <c r="I38" s="2"/>
      <c r="J38" s="10" t="s">
        <v>2107</v>
      </c>
      <c r="K38" s="6"/>
      <c r="L38" s="6"/>
      <c r="M38" s="2" t="s">
        <v>1970</v>
      </c>
      <c r="N38" s="2" t="s">
        <v>2093</v>
      </c>
      <c r="O38" s="2" t="s">
        <v>1107</v>
      </c>
      <c r="P38" s="2" t="s">
        <v>1988</v>
      </c>
      <c r="Q38" s="2" t="s">
        <v>1108</v>
      </c>
      <c r="R38" s="11" t="str">
        <f>HYPERLINK("http://slimages.macys.com/is/image/MCY/11524652 ")</f>
        <v xml:space="preserve">http://slimages.macys.com/is/image/MCY/11524652 </v>
      </c>
    </row>
    <row r="39" spans="1:18" ht="24.75" x14ac:dyDescent="0.25">
      <c r="A39" s="8" t="s">
        <v>1102</v>
      </c>
      <c r="B39" s="2" t="s">
        <v>294</v>
      </c>
      <c r="C39" s="4">
        <v>1</v>
      </c>
      <c r="D39" s="6">
        <v>6.01</v>
      </c>
      <c r="E39" s="6">
        <v>6.01</v>
      </c>
      <c r="F39" s="9">
        <v>29.99</v>
      </c>
      <c r="G39" s="6">
        <v>29.99</v>
      </c>
      <c r="H39" s="4" t="s">
        <v>1104</v>
      </c>
      <c r="I39" s="2" t="s">
        <v>2071</v>
      </c>
      <c r="J39" s="10"/>
      <c r="K39" s="6"/>
      <c r="L39" s="6"/>
      <c r="M39" s="2" t="s">
        <v>1970</v>
      </c>
      <c r="N39" s="2" t="s">
        <v>2386</v>
      </c>
      <c r="O39" s="2" t="s">
        <v>2932</v>
      </c>
      <c r="P39" s="2" t="s">
        <v>1988</v>
      </c>
      <c r="Q39" s="2"/>
      <c r="R39" s="11" t="str">
        <f>HYPERLINK("http://slimages.macys.com/is/image/MCY/9997443 ")</f>
        <v xml:space="preserve">http://slimages.macys.com/is/image/MCY/9997443 </v>
      </c>
    </row>
    <row r="40" spans="1:18" ht="24.75" x14ac:dyDescent="0.25">
      <c r="A40" s="8" t="s">
        <v>295</v>
      </c>
      <c r="B40" s="2" t="s">
        <v>296</v>
      </c>
      <c r="C40" s="4">
        <v>1</v>
      </c>
      <c r="D40" s="6">
        <v>3.48</v>
      </c>
      <c r="E40" s="6">
        <v>3.48</v>
      </c>
      <c r="F40" s="9">
        <v>7.99</v>
      </c>
      <c r="G40" s="6">
        <v>7.99</v>
      </c>
      <c r="H40" s="4" t="s">
        <v>297</v>
      </c>
      <c r="I40" s="2" t="s">
        <v>2048</v>
      </c>
      <c r="J40" s="10" t="s">
        <v>2326</v>
      </c>
      <c r="K40" s="6"/>
      <c r="L40" s="6"/>
      <c r="M40" s="2" t="s">
        <v>1970</v>
      </c>
      <c r="N40" s="2" t="s">
        <v>2093</v>
      </c>
      <c r="O40" s="2" t="s">
        <v>298</v>
      </c>
      <c r="P40" s="2" t="s">
        <v>1988</v>
      </c>
      <c r="Q40" s="2" t="s">
        <v>1255</v>
      </c>
      <c r="R40" s="11" t="str">
        <f>HYPERLINK("http://slimages.macys.com/is/image/MCY/12327822 ")</f>
        <v xml:space="preserve">http://slimages.macys.com/is/image/MCY/12327822 </v>
      </c>
    </row>
    <row r="41" spans="1:18" ht="24.75" x14ac:dyDescent="0.25">
      <c r="A41" s="8" t="s">
        <v>299</v>
      </c>
      <c r="B41" s="2" t="s">
        <v>300</v>
      </c>
      <c r="C41" s="4">
        <v>1</v>
      </c>
      <c r="D41" s="6">
        <v>2.92</v>
      </c>
      <c r="E41" s="6">
        <v>2.92</v>
      </c>
      <c r="F41" s="9">
        <v>5.99</v>
      </c>
      <c r="G41" s="6">
        <v>5.99</v>
      </c>
      <c r="H41" s="4">
        <v>878282</v>
      </c>
      <c r="I41" s="2"/>
      <c r="J41" s="10" t="s">
        <v>2107</v>
      </c>
      <c r="K41" s="6"/>
      <c r="L41" s="6"/>
      <c r="M41" s="2" t="s">
        <v>1970</v>
      </c>
      <c r="N41" s="2" t="s">
        <v>2093</v>
      </c>
      <c r="O41" s="2" t="s">
        <v>1107</v>
      </c>
      <c r="P41" s="2" t="s">
        <v>1988</v>
      </c>
      <c r="Q41" s="2" t="s">
        <v>1108</v>
      </c>
      <c r="R41" s="11" t="str">
        <f>HYPERLINK("http://slimages.macys.com/is/image/MCY/11524658 ")</f>
        <v xml:space="preserve">http://slimages.macys.com/is/image/MCY/11524658 </v>
      </c>
    </row>
    <row r="42" spans="1:18" ht="24.75" x14ac:dyDescent="0.25">
      <c r="A42" s="8" t="s">
        <v>301</v>
      </c>
      <c r="B42" s="2" t="s">
        <v>302</v>
      </c>
      <c r="C42" s="4">
        <v>1</v>
      </c>
      <c r="D42" s="6">
        <v>2.75</v>
      </c>
      <c r="E42" s="6">
        <v>2.75</v>
      </c>
      <c r="F42" s="9">
        <v>5.99</v>
      </c>
      <c r="G42" s="6">
        <v>5.99</v>
      </c>
      <c r="H42" s="4" t="s">
        <v>303</v>
      </c>
      <c r="I42" s="2" t="s">
        <v>2017</v>
      </c>
      <c r="J42" s="10" t="s">
        <v>2092</v>
      </c>
      <c r="K42" s="6"/>
      <c r="L42" s="6"/>
      <c r="M42" s="2" t="s">
        <v>1970</v>
      </c>
      <c r="N42" s="2" t="s">
        <v>2093</v>
      </c>
      <c r="O42" s="2" t="s">
        <v>304</v>
      </c>
      <c r="P42" s="2" t="s">
        <v>1988</v>
      </c>
      <c r="Q42" s="2" t="s">
        <v>2095</v>
      </c>
      <c r="R42" s="11" t="str">
        <f>HYPERLINK("http://slimages.macys.com/is/image/MCY/3491432 ")</f>
        <v xml:space="preserve">http://slimages.macys.com/is/image/MCY/3491432 </v>
      </c>
    </row>
    <row r="43" spans="1:18" ht="24.75" x14ac:dyDescent="0.25">
      <c r="A43" s="8" t="s">
        <v>305</v>
      </c>
      <c r="B43" s="2" t="s">
        <v>306</v>
      </c>
      <c r="C43" s="4">
        <v>6</v>
      </c>
      <c r="D43" s="6">
        <v>2.59</v>
      </c>
      <c r="E43" s="6">
        <v>15.54</v>
      </c>
      <c r="F43" s="9">
        <v>9.99</v>
      </c>
      <c r="G43" s="6">
        <v>59.94</v>
      </c>
      <c r="H43" s="4" t="s">
        <v>307</v>
      </c>
      <c r="I43" s="2" t="s">
        <v>1076</v>
      </c>
      <c r="J43" s="10" t="s">
        <v>2092</v>
      </c>
      <c r="K43" s="6"/>
      <c r="L43" s="6"/>
      <c r="M43" s="2" t="s">
        <v>1970</v>
      </c>
      <c r="N43" s="2" t="s">
        <v>2851</v>
      </c>
      <c r="O43" s="2" t="s">
        <v>2847</v>
      </c>
      <c r="P43" s="2" t="s">
        <v>1988</v>
      </c>
      <c r="Q43" s="2" t="s">
        <v>1255</v>
      </c>
      <c r="R43" s="11" t="str">
        <f>HYPERLINK("http://slimages.macys.com/is/image/MCY/12067375 ")</f>
        <v xml:space="preserve">http://slimages.macys.com/is/image/MCY/12067375 </v>
      </c>
    </row>
    <row r="44" spans="1:18" ht="24.75" x14ac:dyDescent="0.25">
      <c r="A44" s="8" t="s">
        <v>308</v>
      </c>
      <c r="B44" s="2" t="s">
        <v>309</v>
      </c>
      <c r="C44" s="4">
        <v>2</v>
      </c>
      <c r="D44" s="6">
        <v>2.0299999999999998</v>
      </c>
      <c r="E44" s="6">
        <v>4.0599999999999996</v>
      </c>
      <c r="F44" s="9">
        <v>6.99</v>
      </c>
      <c r="G44" s="6">
        <v>13.98</v>
      </c>
      <c r="H44" s="4" t="s">
        <v>310</v>
      </c>
      <c r="I44" s="2" t="s">
        <v>2026</v>
      </c>
      <c r="J44" s="10" t="s">
        <v>2092</v>
      </c>
      <c r="K44" s="6"/>
      <c r="L44" s="6"/>
      <c r="M44" s="2" t="s">
        <v>1970</v>
      </c>
      <c r="N44" s="2" t="s">
        <v>2093</v>
      </c>
      <c r="O44" s="2" t="s">
        <v>311</v>
      </c>
      <c r="P44" s="2" t="s">
        <v>1988</v>
      </c>
      <c r="Q44" s="2" t="s">
        <v>2305</v>
      </c>
      <c r="R44" s="11" t="str">
        <f>HYPERLINK("http://slimages.macys.com/is/image/MCY/10156125 ")</f>
        <v xml:space="preserve">http://slimages.macys.com/is/image/MCY/10156125 </v>
      </c>
    </row>
    <row r="45" spans="1:18" ht="24.75" x14ac:dyDescent="0.25">
      <c r="A45" s="8" t="s">
        <v>312</v>
      </c>
      <c r="B45" s="2" t="s">
        <v>313</v>
      </c>
      <c r="C45" s="4">
        <v>1</v>
      </c>
      <c r="D45" s="6">
        <v>1.95</v>
      </c>
      <c r="E45" s="6">
        <v>1.95</v>
      </c>
      <c r="F45" s="9">
        <v>7.99</v>
      </c>
      <c r="G45" s="6">
        <v>7.99</v>
      </c>
      <c r="H45" s="4">
        <v>1001232600</v>
      </c>
      <c r="I45" s="2" t="s">
        <v>1993</v>
      </c>
      <c r="J45" s="10" t="s">
        <v>861</v>
      </c>
      <c r="K45" s="6"/>
      <c r="L45" s="6"/>
      <c r="M45" s="2" t="s">
        <v>1970</v>
      </c>
      <c r="N45" s="2" t="s">
        <v>2851</v>
      </c>
      <c r="O45" s="2" t="s">
        <v>2854</v>
      </c>
      <c r="P45" s="2" t="s">
        <v>1988</v>
      </c>
      <c r="Q45" s="2" t="s">
        <v>2305</v>
      </c>
      <c r="R45" s="11" t="str">
        <f>HYPERLINK("http://slimages.macys.com/is/image/MCY/9507657 ")</f>
        <v xml:space="preserve">http://slimages.macys.com/is/image/MCY/9507657 </v>
      </c>
    </row>
    <row r="46" spans="1:18" ht="24.75" x14ac:dyDescent="0.25">
      <c r="A46" s="8" t="s">
        <v>1105</v>
      </c>
      <c r="B46" s="2" t="s">
        <v>314</v>
      </c>
      <c r="C46" s="4">
        <v>3</v>
      </c>
      <c r="D46" s="6">
        <v>1.9</v>
      </c>
      <c r="E46" s="6">
        <v>5.7</v>
      </c>
      <c r="F46" s="9">
        <v>3.99</v>
      </c>
      <c r="G46" s="6">
        <v>11.97</v>
      </c>
      <c r="H46" s="4">
        <v>878299</v>
      </c>
      <c r="I46" s="2"/>
      <c r="J46" s="10" t="s">
        <v>2107</v>
      </c>
      <c r="K46" s="6"/>
      <c r="L46" s="6"/>
      <c r="M46" s="2" t="s">
        <v>1970</v>
      </c>
      <c r="N46" s="2" t="s">
        <v>2093</v>
      </c>
      <c r="O46" s="2" t="s">
        <v>1107</v>
      </c>
      <c r="P46" s="2" t="s">
        <v>1988</v>
      </c>
      <c r="Q46" s="2" t="s">
        <v>1108</v>
      </c>
      <c r="R46" s="11" t="str">
        <f>HYPERLINK("http://slimages.macys.com/is/image/MCY/11524665 ")</f>
        <v xml:space="preserve">http://slimages.macys.com/is/image/MCY/11524665 </v>
      </c>
    </row>
    <row r="47" spans="1:18" ht="24.75" x14ac:dyDescent="0.25">
      <c r="A47" s="8" t="s">
        <v>315</v>
      </c>
      <c r="B47" s="2" t="s">
        <v>316</v>
      </c>
      <c r="C47" s="4">
        <v>1</v>
      </c>
      <c r="D47" s="6">
        <v>1.49</v>
      </c>
      <c r="E47" s="6">
        <v>1.49</v>
      </c>
      <c r="F47" s="9">
        <v>5.99</v>
      </c>
      <c r="G47" s="6">
        <v>5.99</v>
      </c>
      <c r="H47" s="4" t="s">
        <v>317</v>
      </c>
      <c r="I47" s="2" t="s">
        <v>2603</v>
      </c>
      <c r="J47" s="10" t="s">
        <v>2092</v>
      </c>
      <c r="K47" s="6"/>
      <c r="L47" s="6"/>
      <c r="M47" s="2" t="s">
        <v>1970</v>
      </c>
      <c r="N47" s="2" t="s">
        <v>2093</v>
      </c>
      <c r="O47" s="2" t="s">
        <v>298</v>
      </c>
      <c r="P47" s="2" t="s">
        <v>1988</v>
      </c>
      <c r="Q47" s="2" t="s">
        <v>318</v>
      </c>
      <c r="R47" s="11" t="str">
        <f>HYPERLINK("http://slimages.macys.com/is/image/MCY/13683754 ")</f>
        <v xml:space="preserve">http://slimages.macys.com/is/image/MCY/13683754 </v>
      </c>
    </row>
    <row r="48" spans="1:18" ht="24.75" x14ac:dyDescent="0.25">
      <c r="A48" s="8" t="s">
        <v>319</v>
      </c>
      <c r="B48" s="2" t="s">
        <v>320</v>
      </c>
      <c r="C48" s="4">
        <v>1</v>
      </c>
      <c r="D48" s="6">
        <v>1.49</v>
      </c>
      <c r="E48" s="6">
        <v>1.49</v>
      </c>
      <c r="F48" s="9">
        <v>5.99</v>
      </c>
      <c r="G48" s="6">
        <v>5.99</v>
      </c>
      <c r="H48" s="4" t="s">
        <v>321</v>
      </c>
      <c r="I48" s="2" t="s">
        <v>2048</v>
      </c>
      <c r="J48" s="10" t="s">
        <v>2092</v>
      </c>
      <c r="K48" s="6"/>
      <c r="L48" s="6"/>
      <c r="M48" s="2" t="s">
        <v>1970</v>
      </c>
      <c r="N48" s="2" t="s">
        <v>2093</v>
      </c>
      <c r="O48" s="2" t="s">
        <v>298</v>
      </c>
      <c r="P48" s="2" t="s">
        <v>1988</v>
      </c>
      <c r="Q48" s="2" t="s">
        <v>318</v>
      </c>
      <c r="R48" s="11" t="str">
        <f>HYPERLINK("http://slimages.macys.com/is/image/MCY/13683754 ")</f>
        <v xml:space="preserve">http://slimages.macys.com/is/image/MCY/13683754 </v>
      </c>
    </row>
    <row r="49" spans="1:18" ht="24.75" x14ac:dyDescent="0.25">
      <c r="A49" s="8" t="s">
        <v>322</v>
      </c>
      <c r="B49" s="2" t="s">
        <v>323</v>
      </c>
      <c r="C49" s="4">
        <v>3</v>
      </c>
      <c r="D49" s="6">
        <v>0.95</v>
      </c>
      <c r="E49" s="6">
        <v>2.85</v>
      </c>
      <c r="F49" s="9">
        <v>2.99</v>
      </c>
      <c r="G49" s="6">
        <v>8.9700000000000006</v>
      </c>
      <c r="H49" s="4">
        <v>356465910</v>
      </c>
      <c r="I49" s="2" t="s">
        <v>324</v>
      </c>
      <c r="J49" s="10" t="s">
        <v>861</v>
      </c>
      <c r="K49" s="6"/>
      <c r="L49" s="6"/>
      <c r="M49" s="2" t="s">
        <v>1970</v>
      </c>
      <c r="N49" s="2" t="s">
        <v>2093</v>
      </c>
      <c r="O49" s="2" t="s">
        <v>325</v>
      </c>
      <c r="P49" s="2" t="s">
        <v>1988</v>
      </c>
      <c r="Q49" s="2" t="s">
        <v>2305</v>
      </c>
      <c r="R49" s="11" t="str">
        <f>HYPERLINK("http://slimages.macys.com/is/image/MCY/8758063 ")</f>
        <v xml:space="preserve">http://slimages.macys.com/is/image/MCY/8758063 </v>
      </c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63"/>
  <sheetViews>
    <sheetView topLeftCell="A54" workbookViewId="0">
      <selection activeCell="K74" sqref="K74"/>
    </sheetView>
  </sheetViews>
  <sheetFormatPr defaultRowHeight="15" x14ac:dyDescent="0.25"/>
  <cols>
    <col min="1" max="1" width="14.28515625" customWidth="1"/>
    <col min="2" max="2" width="48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7.140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510</v>
      </c>
      <c r="B2" s="2" t="s">
        <v>511</v>
      </c>
      <c r="C2" s="4">
        <v>1</v>
      </c>
      <c r="D2" s="6">
        <v>148.77000000000001</v>
      </c>
      <c r="E2" s="6">
        <v>148.77000000000001</v>
      </c>
      <c r="F2" s="9">
        <v>379.99</v>
      </c>
      <c r="G2" s="6">
        <v>379.99</v>
      </c>
      <c r="H2" s="4" t="s">
        <v>512</v>
      </c>
      <c r="I2" s="2" t="s">
        <v>2683</v>
      </c>
      <c r="J2" s="10"/>
      <c r="K2" s="6"/>
      <c r="L2" s="6"/>
      <c r="M2" s="2" t="s">
        <v>1970</v>
      </c>
      <c r="N2" s="2" t="s">
        <v>2626</v>
      </c>
      <c r="O2" s="2" t="s">
        <v>2627</v>
      </c>
      <c r="P2" s="2" t="s">
        <v>1988</v>
      </c>
      <c r="Q2" s="2" t="s">
        <v>2053</v>
      </c>
      <c r="R2" s="11" t="str">
        <f>HYPERLINK("http://slimages.macys.com/is/image/MCY/9418451 ")</f>
        <v xml:space="preserve">http://slimages.macys.com/is/image/MCY/9418451 </v>
      </c>
    </row>
    <row r="3" spans="1:18" ht="48.75" x14ac:dyDescent="0.25">
      <c r="A3" s="8" t="s">
        <v>513</v>
      </c>
      <c r="B3" s="2" t="s">
        <v>514</v>
      </c>
      <c r="C3" s="4">
        <v>3</v>
      </c>
      <c r="D3" s="6">
        <v>53.88</v>
      </c>
      <c r="E3" s="6">
        <v>161.63999999999999</v>
      </c>
      <c r="F3" s="9">
        <v>149.99</v>
      </c>
      <c r="G3" s="6">
        <v>449.97</v>
      </c>
      <c r="H3" s="4" t="s">
        <v>515</v>
      </c>
      <c r="I3" s="2" t="s">
        <v>2077</v>
      </c>
      <c r="J3" s="10"/>
      <c r="K3" s="6"/>
      <c r="L3" s="6"/>
      <c r="M3" s="2" t="s">
        <v>1970</v>
      </c>
      <c r="N3" s="2" t="s">
        <v>2846</v>
      </c>
      <c r="O3" s="2" t="s">
        <v>2847</v>
      </c>
      <c r="P3" s="2" t="s">
        <v>1988</v>
      </c>
      <c r="Q3" s="2" t="s">
        <v>516</v>
      </c>
      <c r="R3" s="11" t="str">
        <f>HYPERLINK("http://slimages.macys.com/is/image/MCY/9220464 ")</f>
        <v xml:space="preserve">http://slimages.macys.com/is/image/MCY/9220464 </v>
      </c>
    </row>
    <row r="4" spans="1:18" ht="84.75" x14ac:dyDescent="0.25">
      <c r="A4" s="8" t="s">
        <v>517</v>
      </c>
      <c r="B4" s="2" t="s">
        <v>518</v>
      </c>
      <c r="C4" s="4">
        <v>1</v>
      </c>
      <c r="D4" s="6">
        <v>53.44</v>
      </c>
      <c r="E4" s="6">
        <v>53.44</v>
      </c>
      <c r="F4" s="9">
        <v>139.99</v>
      </c>
      <c r="G4" s="6">
        <v>139.99</v>
      </c>
      <c r="H4" s="4" t="s">
        <v>519</v>
      </c>
      <c r="I4" s="2" t="s">
        <v>2017</v>
      </c>
      <c r="J4" s="10"/>
      <c r="K4" s="6"/>
      <c r="L4" s="6"/>
      <c r="M4" s="2" t="s">
        <v>1970</v>
      </c>
      <c r="N4" s="2" t="s">
        <v>891</v>
      </c>
      <c r="O4" s="2" t="s">
        <v>892</v>
      </c>
      <c r="P4" s="2" t="s">
        <v>1988</v>
      </c>
      <c r="Q4" s="2" t="s">
        <v>520</v>
      </c>
      <c r="R4" s="11" t="str">
        <f>HYPERLINK("http://slimages.macys.com/is/image/MCY/16330348 ")</f>
        <v xml:space="preserve">http://slimages.macys.com/is/image/MCY/16330348 </v>
      </c>
    </row>
    <row r="5" spans="1:18" ht="48.75" x14ac:dyDescent="0.25">
      <c r="A5" s="8" t="s">
        <v>521</v>
      </c>
      <c r="B5" s="2" t="s">
        <v>522</v>
      </c>
      <c r="C5" s="4">
        <v>1</v>
      </c>
      <c r="D5" s="6">
        <v>44.03</v>
      </c>
      <c r="E5" s="6">
        <v>44.03</v>
      </c>
      <c r="F5" s="9">
        <v>139.99</v>
      </c>
      <c r="G5" s="6">
        <v>139.99</v>
      </c>
      <c r="H5" s="4" t="s">
        <v>523</v>
      </c>
      <c r="I5" s="2" t="s">
        <v>2017</v>
      </c>
      <c r="J5" s="10" t="s">
        <v>2737</v>
      </c>
      <c r="K5" s="6"/>
      <c r="L5" s="6"/>
      <c r="M5" s="2" t="s">
        <v>1970</v>
      </c>
      <c r="N5" s="2" t="s">
        <v>2846</v>
      </c>
      <c r="O5" s="2" t="s">
        <v>2847</v>
      </c>
      <c r="P5" s="2" t="s">
        <v>1988</v>
      </c>
      <c r="Q5" s="2" t="s">
        <v>524</v>
      </c>
      <c r="R5" s="11" t="str">
        <f>HYPERLINK("http://slimages.macys.com/is/image/MCY/9593791 ")</f>
        <v xml:space="preserve">http://slimages.macys.com/is/image/MCY/9593791 </v>
      </c>
    </row>
    <row r="6" spans="1:18" ht="24.75" x14ac:dyDescent="0.25">
      <c r="A6" s="8" t="s">
        <v>525</v>
      </c>
      <c r="B6" s="2" t="s">
        <v>526</v>
      </c>
      <c r="C6" s="4">
        <v>1</v>
      </c>
      <c r="D6" s="6">
        <v>44.03</v>
      </c>
      <c r="E6" s="6">
        <v>44.03</v>
      </c>
      <c r="F6" s="9">
        <v>139.99</v>
      </c>
      <c r="G6" s="6">
        <v>139.99</v>
      </c>
      <c r="H6" s="4" t="s">
        <v>527</v>
      </c>
      <c r="I6" s="2" t="s">
        <v>2603</v>
      </c>
      <c r="J6" s="10" t="s">
        <v>2737</v>
      </c>
      <c r="K6" s="6"/>
      <c r="L6" s="6"/>
      <c r="M6" s="2" t="s">
        <v>1970</v>
      </c>
      <c r="N6" s="2" t="s">
        <v>2846</v>
      </c>
      <c r="O6" s="2" t="s">
        <v>2847</v>
      </c>
      <c r="P6" s="2" t="s">
        <v>1988</v>
      </c>
      <c r="Q6" s="2"/>
      <c r="R6" s="11" t="str">
        <f>HYPERLINK("http://slimages.macys.com/is/image/MCY/8210589 ")</f>
        <v xml:space="preserve">http://slimages.macys.com/is/image/MCY/8210589 </v>
      </c>
    </row>
    <row r="7" spans="1:18" ht="24.75" x14ac:dyDescent="0.25">
      <c r="A7" s="8" t="s">
        <v>528</v>
      </c>
      <c r="B7" s="2" t="s">
        <v>529</v>
      </c>
      <c r="C7" s="4">
        <v>1</v>
      </c>
      <c r="D7" s="6">
        <v>43.51</v>
      </c>
      <c r="E7" s="6">
        <v>43.51</v>
      </c>
      <c r="F7" s="9">
        <v>99.99</v>
      </c>
      <c r="G7" s="6">
        <v>99.99</v>
      </c>
      <c r="H7" s="4" t="s">
        <v>530</v>
      </c>
      <c r="I7" s="2" t="s">
        <v>2048</v>
      </c>
      <c r="J7" s="10"/>
      <c r="K7" s="6"/>
      <c r="L7" s="6"/>
      <c r="M7" s="2" t="s">
        <v>1970</v>
      </c>
      <c r="N7" s="2" t="s">
        <v>2386</v>
      </c>
      <c r="O7" s="2" t="s">
        <v>2932</v>
      </c>
      <c r="P7" s="2" t="s">
        <v>1988</v>
      </c>
      <c r="Q7" s="2" t="s">
        <v>531</v>
      </c>
      <c r="R7" s="11" t="str">
        <f>HYPERLINK("http://slimages.macys.com/is/image/MCY/2845386 ")</f>
        <v xml:space="preserve">http://slimages.macys.com/is/image/MCY/2845386 </v>
      </c>
    </row>
    <row r="8" spans="1:18" ht="36.75" x14ac:dyDescent="0.25">
      <c r="A8" s="8" t="s">
        <v>532</v>
      </c>
      <c r="B8" s="2" t="s">
        <v>533</v>
      </c>
      <c r="C8" s="4">
        <v>1</v>
      </c>
      <c r="D8" s="6">
        <v>41.79</v>
      </c>
      <c r="E8" s="6">
        <v>41.79</v>
      </c>
      <c r="F8" s="9">
        <v>119.99</v>
      </c>
      <c r="G8" s="6">
        <v>119.99</v>
      </c>
      <c r="H8" s="4" t="s">
        <v>534</v>
      </c>
      <c r="I8" s="2" t="s">
        <v>2026</v>
      </c>
      <c r="J8" s="10"/>
      <c r="K8" s="6"/>
      <c r="L8" s="6"/>
      <c r="M8" s="2" t="s">
        <v>1970</v>
      </c>
      <c r="N8" s="2" t="s">
        <v>2295</v>
      </c>
      <c r="O8" s="2" t="s">
        <v>1219</v>
      </c>
      <c r="P8" s="2" t="s">
        <v>1988</v>
      </c>
      <c r="Q8" s="2" t="s">
        <v>535</v>
      </c>
      <c r="R8" s="11" t="str">
        <f>HYPERLINK("http://slimages.macys.com/is/image/MCY/9936592 ")</f>
        <v xml:space="preserve">http://slimages.macys.com/is/image/MCY/9936592 </v>
      </c>
    </row>
    <row r="9" spans="1:18" ht="36.75" x14ac:dyDescent="0.25">
      <c r="A9" s="8" t="s">
        <v>536</v>
      </c>
      <c r="B9" s="2" t="s">
        <v>537</v>
      </c>
      <c r="C9" s="4">
        <v>1</v>
      </c>
      <c r="D9" s="6">
        <v>41.58</v>
      </c>
      <c r="E9" s="6">
        <v>41.58</v>
      </c>
      <c r="F9" s="9">
        <v>159.99</v>
      </c>
      <c r="G9" s="6">
        <v>159.99</v>
      </c>
      <c r="H9" s="4" t="s">
        <v>538</v>
      </c>
      <c r="I9" s="2" t="s">
        <v>2026</v>
      </c>
      <c r="J9" s="10" t="s">
        <v>2107</v>
      </c>
      <c r="K9" s="6"/>
      <c r="L9" s="6"/>
      <c r="M9" s="2" t="s">
        <v>1970</v>
      </c>
      <c r="N9" s="2" t="s">
        <v>2027</v>
      </c>
      <c r="O9" s="2" t="s">
        <v>2838</v>
      </c>
      <c r="P9" s="2" t="s">
        <v>1988</v>
      </c>
      <c r="Q9" s="2" t="s">
        <v>539</v>
      </c>
      <c r="R9" s="11" t="str">
        <f>HYPERLINK("http://slimages.macys.com/is/image/MCY/10389010 ")</f>
        <v xml:space="preserve">http://slimages.macys.com/is/image/MCY/10389010 </v>
      </c>
    </row>
    <row r="10" spans="1:18" ht="24.75" x14ac:dyDescent="0.25">
      <c r="A10" s="8" t="s">
        <v>1363</v>
      </c>
      <c r="B10" s="2" t="s">
        <v>1364</v>
      </c>
      <c r="C10" s="4">
        <v>3</v>
      </c>
      <c r="D10" s="6">
        <v>37.42</v>
      </c>
      <c r="E10" s="6">
        <v>112.26</v>
      </c>
      <c r="F10" s="9">
        <v>99.99</v>
      </c>
      <c r="G10" s="6">
        <v>299.97000000000003</v>
      </c>
      <c r="H10" s="4" t="s">
        <v>1365</v>
      </c>
      <c r="I10" s="2" t="s">
        <v>2026</v>
      </c>
      <c r="J10" s="10"/>
      <c r="K10" s="6"/>
      <c r="L10" s="6"/>
      <c r="M10" s="2" t="s">
        <v>1970</v>
      </c>
      <c r="N10" s="2" t="s">
        <v>2295</v>
      </c>
      <c r="O10" s="2" t="s">
        <v>1219</v>
      </c>
      <c r="P10" s="2" t="s">
        <v>1988</v>
      </c>
      <c r="Q10" s="2"/>
      <c r="R10" s="11" t="str">
        <f>HYPERLINK("http://slimages.macys.com/is/image/MCY/8336661 ")</f>
        <v xml:space="preserve">http://slimages.macys.com/is/image/MCY/8336661 </v>
      </c>
    </row>
    <row r="11" spans="1:18" ht="24.75" x14ac:dyDescent="0.25">
      <c r="A11" s="8" t="s">
        <v>540</v>
      </c>
      <c r="B11" s="2" t="s">
        <v>541</v>
      </c>
      <c r="C11" s="4">
        <v>1</v>
      </c>
      <c r="D11" s="6">
        <v>32.5</v>
      </c>
      <c r="E11" s="6">
        <v>32.5</v>
      </c>
      <c r="F11" s="9">
        <v>69.989999999999995</v>
      </c>
      <c r="G11" s="6">
        <v>69.989999999999995</v>
      </c>
      <c r="H11" s="4" t="s">
        <v>542</v>
      </c>
      <c r="I11" s="2" t="s">
        <v>1315</v>
      </c>
      <c r="J11" s="10" t="s">
        <v>2107</v>
      </c>
      <c r="K11" s="6"/>
      <c r="L11" s="6"/>
      <c r="M11" s="2" t="s">
        <v>1970</v>
      </c>
      <c r="N11" s="2" t="s">
        <v>1986</v>
      </c>
      <c r="O11" s="2" t="s">
        <v>543</v>
      </c>
      <c r="P11" s="2" t="s">
        <v>1988</v>
      </c>
      <c r="Q11" s="2" t="s">
        <v>1995</v>
      </c>
      <c r="R11" s="11" t="str">
        <f>HYPERLINK("http://slimages.macys.com/is/image/MCY/3869934 ")</f>
        <v xml:space="preserve">http://slimages.macys.com/is/image/MCY/3869934 </v>
      </c>
    </row>
    <row r="12" spans="1:18" ht="24.75" x14ac:dyDescent="0.25">
      <c r="A12" s="8" t="s">
        <v>544</v>
      </c>
      <c r="B12" s="2" t="s">
        <v>545</v>
      </c>
      <c r="C12" s="4">
        <v>1</v>
      </c>
      <c r="D12" s="6">
        <v>31.33</v>
      </c>
      <c r="E12" s="6">
        <v>31.33</v>
      </c>
      <c r="F12" s="9">
        <v>79.989999999999995</v>
      </c>
      <c r="G12" s="6">
        <v>79.989999999999995</v>
      </c>
      <c r="H12" s="4" t="s">
        <v>546</v>
      </c>
      <c r="I12" s="2" t="s">
        <v>2026</v>
      </c>
      <c r="J12" s="10" t="s">
        <v>2552</v>
      </c>
      <c r="K12" s="6"/>
      <c r="L12" s="6"/>
      <c r="M12" s="2" t="s">
        <v>1970</v>
      </c>
      <c r="N12" s="2" t="s">
        <v>991</v>
      </c>
      <c r="O12" s="2" t="s">
        <v>547</v>
      </c>
      <c r="P12" s="2" t="s">
        <v>1988</v>
      </c>
      <c r="Q12" s="2"/>
      <c r="R12" s="11" t="str">
        <f>HYPERLINK("http://slimages.macys.com/is/image/MCY/8839658 ")</f>
        <v xml:space="preserve">http://slimages.macys.com/is/image/MCY/8839658 </v>
      </c>
    </row>
    <row r="13" spans="1:18" ht="24.75" x14ac:dyDescent="0.25">
      <c r="A13" s="8" t="s">
        <v>548</v>
      </c>
      <c r="B13" s="2" t="s">
        <v>549</v>
      </c>
      <c r="C13" s="4">
        <v>1</v>
      </c>
      <c r="D13" s="6">
        <v>29.5</v>
      </c>
      <c r="E13" s="6">
        <v>29.5</v>
      </c>
      <c r="F13" s="9">
        <v>99.99</v>
      </c>
      <c r="G13" s="6">
        <v>99.99</v>
      </c>
      <c r="H13" s="4" t="s">
        <v>550</v>
      </c>
      <c r="I13" s="2" t="s">
        <v>2603</v>
      </c>
      <c r="J13" s="10" t="s">
        <v>1139</v>
      </c>
      <c r="K13" s="6"/>
      <c r="L13" s="6"/>
      <c r="M13" s="2" t="s">
        <v>1970</v>
      </c>
      <c r="N13" s="2" t="s">
        <v>2846</v>
      </c>
      <c r="O13" s="2" t="s">
        <v>2847</v>
      </c>
      <c r="P13" s="2" t="s">
        <v>1988</v>
      </c>
      <c r="Q13" s="2"/>
      <c r="R13" s="11" t="str">
        <f>HYPERLINK("http://slimages.macys.com/is/image/MCY/8210589 ")</f>
        <v xml:space="preserve">http://slimages.macys.com/is/image/MCY/8210589 </v>
      </c>
    </row>
    <row r="14" spans="1:18" ht="24.75" x14ac:dyDescent="0.25">
      <c r="A14" s="8" t="s">
        <v>551</v>
      </c>
      <c r="B14" s="2" t="s">
        <v>552</v>
      </c>
      <c r="C14" s="4">
        <v>2</v>
      </c>
      <c r="D14" s="6">
        <v>27.05</v>
      </c>
      <c r="E14" s="6">
        <v>54.1</v>
      </c>
      <c r="F14" s="9">
        <v>69.989999999999995</v>
      </c>
      <c r="G14" s="6">
        <v>139.97999999999999</v>
      </c>
      <c r="H14" s="4" t="s">
        <v>553</v>
      </c>
      <c r="I14" s="2" t="s">
        <v>2026</v>
      </c>
      <c r="J14" s="10"/>
      <c r="K14" s="6"/>
      <c r="L14" s="6"/>
      <c r="M14" s="2" t="s">
        <v>1970</v>
      </c>
      <c r="N14" s="2" t="s">
        <v>2295</v>
      </c>
      <c r="O14" s="2" t="s">
        <v>554</v>
      </c>
      <c r="P14" s="2" t="s">
        <v>1988</v>
      </c>
      <c r="Q14" s="2" t="s">
        <v>2095</v>
      </c>
      <c r="R14" s="11" t="str">
        <f>HYPERLINK("http://slimages.macys.com/is/image/MCY/9940185 ")</f>
        <v xml:space="preserve">http://slimages.macys.com/is/image/MCY/9940185 </v>
      </c>
    </row>
    <row r="15" spans="1:18" ht="24.75" x14ac:dyDescent="0.25">
      <c r="A15" s="8" t="s">
        <v>555</v>
      </c>
      <c r="B15" s="2" t="s">
        <v>556</v>
      </c>
      <c r="C15" s="4">
        <v>1</v>
      </c>
      <c r="D15" s="6">
        <v>26.69</v>
      </c>
      <c r="E15" s="6">
        <v>26.69</v>
      </c>
      <c r="F15" s="9">
        <v>69.989999999999995</v>
      </c>
      <c r="G15" s="6">
        <v>69.989999999999995</v>
      </c>
      <c r="H15" s="4" t="s">
        <v>557</v>
      </c>
      <c r="I15" s="2" t="s">
        <v>2021</v>
      </c>
      <c r="J15" s="10"/>
      <c r="K15" s="6"/>
      <c r="L15" s="6"/>
      <c r="M15" s="2" t="s">
        <v>1970</v>
      </c>
      <c r="N15" s="2" t="s">
        <v>1986</v>
      </c>
      <c r="O15" s="2" t="s">
        <v>2044</v>
      </c>
      <c r="P15" s="2" t="s">
        <v>1988</v>
      </c>
      <c r="Q15" s="2" t="s">
        <v>1995</v>
      </c>
      <c r="R15" s="11" t="str">
        <f>HYPERLINK("http://slimages.macys.com/is/image/MCY/14308331 ")</f>
        <v xml:space="preserve">http://slimages.macys.com/is/image/MCY/14308331 </v>
      </c>
    </row>
    <row r="16" spans="1:18" ht="48.75" x14ac:dyDescent="0.25">
      <c r="A16" s="8" t="s">
        <v>558</v>
      </c>
      <c r="B16" s="2" t="s">
        <v>559</v>
      </c>
      <c r="C16" s="4">
        <v>1</v>
      </c>
      <c r="D16" s="6">
        <v>25.63</v>
      </c>
      <c r="E16" s="6">
        <v>25.63</v>
      </c>
      <c r="F16" s="9">
        <v>74.989999999999995</v>
      </c>
      <c r="G16" s="6">
        <v>74.989999999999995</v>
      </c>
      <c r="H16" s="4">
        <v>80786</v>
      </c>
      <c r="I16" s="2" t="s">
        <v>1985</v>
      </c>
      <c r="J16" s="10"/>
      <c r="K16" s="6"/>
      <c r="L16" s="6"/>
      <c r="M16" s="2" t="s">
        <v>1970</v>
      </c>
      <c r="N16" s="2" t="s">
        <v>1986</v>
      </c>
      <c r="O16" s="2" t="s">
        <v>1999</v>
      </c>
      <c r="P16" s="2" t="s">
        <v>1988</v>
      </c>
      <c r="Q16" s="2" t="s">
        <v>1131</v>
      </c>
      <c r="R16" s="11" t="str">
        <f>HYPERLINK("http://slimages.macys.com/is/image/MCY/13040507 ")</f>
        <v xml:space="preserve">http://slimages.macys.com/is/image/MCY/13040507 </v>
      </c>
    </row>
    <row r="17" spans="1:18" ht="36.75" x14ac:dyDescent="0.25">
      <c r="A17" s="8" t="s">
        <v>560</v>
      </c>
      <c r="B17" s="2" t="s">
        <v>561</v>
      </c>
      <c r="C17" s="4">
        <v>1</v>
      </c>
      <c r="D17" s="6">
        <v>25</v>
      </c>
      <c r="E17" s="6">
        <v>25</v>
      </c>
      <c r="F17" s="9">
        <v>59.99</v>
      </c>
      <c r="G17" s="6">
        <v>59.99</v>
      </c>
      <c r="H17" s="4" t="s">
        <v>562</v>
      </c>
      <c r="I17" s="2" t="s">
        <v>2026</v>
      </c>
      <c r="J17" s="10"/>
      <c r="K17" s="6"/>
      <c r="L17" s="6"/>
      <c r="M17" s="2" t="s">
        <v>1970</v>
      </c>
      <c r="N17" s="2" t="s">
        <v>2295</v>
      </c>
      <c r="O17" s="2" t="s">
        <v>554</v>
      </c>
      <c r="P17" s="2" t="s">
        <v>1988</v>
      </c>
      <c r="Q17" s="2" t="s">
        <v>563</v>
      </c>
      <c r="R17" s="11" t="str">
        <f>HYPERLINK("http://slimages.macys.com/is/image/MCY/9976650 ")</f>
        <v xml:space="preserve">http://slimages.macys.com/is/image/MCY/9976650 </v>
      </c>
    </row>
    <row r="18" spans="1:18" ht="36.75" x14ac:dyDescent="0.25">
      <c r="A18" s="8" t="s">
        <v>564</v>
      </c>
      <c r="B18" s="2" t="s">
        <v>565</v>
      </c>
      <c r="C18" s="4">
        <v>1</v>
      </c>
      <c r="D18" s="6">
        <v>25</v>
      </c>
      <c r="E18" s="6">
        <v>25</v>
      </c>
      <c r="F18" s="9">
        <v>59.99</v>
      </c>
      <c r="G18" s="6">
        <v>59.99</v>
      </c>
      <c r="H18" s="4" t="s">
        <v>566</v>
      </c>
      <c r="I18" s="2" t="s">
        <v>2026</v>
      </c>
      <c r="J18" s="10"/>
      <c r="K18" s="6"/>
      <c r="L18" s="6"/>
      <c r="M18" s="2" t="s">
        <v>1970</v>
      </c>
      <c r="N18" s="2" t="s">
        <v>2295</v>
      </c>
      <c r="O18" s="2" t="s">
        <v>554</v>
      </c>
      <c r="P18" s="2" t="s">
        <v>1988</v>
      </c>
      <c r="Q18" s="2" t="s">
        <v>563</v>
      </c>
      <c r="R18" s="11" t="str">
        <f>HYPERLINK("http://slimages.macys.com/is/image/MCY/9976650 ")</f>
        <v xml:space="preserve">http://slimages.macys.com/is/image/MCY/9976650 </v>
      </c>
    </row>
    <row r="19" spans="1:18" ht="24.75" x14ac:dyDescent="0.25">
      <c r="A19" s="8" t="s">
        <v>2904</v>
      </c>
      <c r="B19" s="2" t="s">
        <v>910</v>
      </c>
      <c r="C19" s="4">
        <v>1</v>
      </c>
      <c r="D19" s="6">
        <v>19.690000000000001</v>
      </c>
      <c r="E19" s="6">
        <v>19.690000000000001</v>
      </c>
      <c r="F19" s="9">
        <v>59.99</v>
      </c>
      <c r="G19" s="6">
        <v>59.99</v>
      </c>
      <c r="H19" s="4" t="s">
        <v>2903</v>
      </c>
      <c r="I19" s="2" t="s">
        <v>2897</v>
      </c>
      <c r="J19" s="10"/>
      <c r="K19" s="6"/>
      <c r="L19" s="6"/>
      <c r="M19" s="2" t="s">
        <v>1970</v>
      </c>
      <c r="N19" s="2" t="s">
        <v>2032</v>
      </c>
      <c r="O19" s="2" t="s">
        <v>2898</v>
      </c>
      <c r="P19" s="2" t="s">
        <v>1988</v>
      </c>
      <c r="Q19" s="2" t="s">
        <v>1995</v>
      </c>
      <c r="R19" s="11" t="str">
        <f>HYPERLINK("http://slimages.macys.com/is/image/MCY/9965724 ")</f>
        <v xml:space="preserve">http://slimages.macys.com/is/image/MCY/9965724 </v>
      </c>
    </row>
    <row r="20" spans="1:18" ht="24.75" x14ac:dyDescent="0.25">
      <c r="A20" s="8" t="s">
        <v>567</v>
      </c>
      <c r="B20" s="2" t="s">
        <v>568</v>
      </c>
      <c r="C20" s="4">
        <v>1</v>
      </c>
      <c r="D20" s="6">
        <v>18.190000000000001</v>
      </c>
      <c r="E20" s="6">
        <v>18.190000000000001</v>
      </c>
      <c r="F20" s="9">
        <v>44.99</v>
      </c>
      <c r="G20" s="6">
        <v>44.99</v>
      </c>
      <c r="H20" s="4" t="s">
        <v>569</v>
      </c>
      <c r="I20" s="2" t="s">
        <v>2048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1995</v>
      </c>
      <c r="R20" s="11" t="str">
        <f>HYPERLINK("http://slimages.macys.com/is/image/MCY/8081545 ")</f>
        <v xml:space="preserve">http://slimages.macys.com/is/image/MCY/8081545 </v>
      </c>
    </row>
    <row r="21" spans="1:18" ht="24.75" x14ac:dyDescent="0.25">
      <c r="A21" s="8" t="s">
        <v>570</v>
      </c>
      <c r="B21" s="2" t="s">
        <v>571</v>
      </c>
      <c r="C21" s="4">
        <v>1</v>
      </c>
      <c r="D21" s="6">
        <v>18.190000000000001</v>
      </c>
      <c r="E21" s="6">
        <v>18.190000000000001</v>
      </c>
      <c r="F21" s="9">
        <v>44.99</v>
      </c>
      <c r="G21" s="6">
        <v>44.99</v>
      </c>
      <c r="H21" s="4" t="s">
        <v>572</v>
      </c>
      <c r="I21" s="2" t="s">
        <v>2200</v>
      </c>
      <c r="J21" s="10"/>
      <c r="K21" s="6"/>
      <c r="L21" s="6"/>
      <c r="M21" s="2" t="s">
        <v>1970</v>
      </c>
      <c r="N21" s="2" t="s">
        <v>2012</v>
      </c>
      <c r="O21" s="2" t="s">
        <v>1987</v>
      </c>
      <c r="P21" s="2" t="s">
        <v>1988</v>
      </c>
      <c r="Q21" s="2" t="s">
        <v>1995</v>
      </c>
      <c r="R21" s="11" t="str">
        <f>HYPERLINK("http://slimages.macys.com/is/image/MCY/8081545 ")</f>
        <v xml:space="preserve">http://slimages.macys.com/is/image/MCY/8081545 </v>
      </c>
    </row>
    <row r="22" spans="1:18" ht="24.75" x14ac:dyDescent="0.25">
      <c r="A22" s="8" t="s">
        <v>573</v>
      </c>
      <c r="B22" s="2" t="s">
        <v>574</v>
      </c>
      <c r="C22" s="4">
        <v>1</v>
      </c>
      <c r="D22" s="6">
        <v>18.13</v>
      </c>
      <c r="E22" s="6">
        <v>18.13</v>
      </c>
      <c r="F22" s="9">
        <v>39.99</v>
      </c>
      <c r="G22" s="6">
        <v>39.99</v>
      </c>
      <c r="H22" s="4">
        <v>52831</v>
      </c>
      <c r="I22" s="2" t="s">
        <v>2603</v>
      </c>
      <c r="J22" s="10"/>
      <c r="K22" s="6"/>
      <c r="L22" s="6"/>
      <c r="M22" s="2" t="s">
        <v>1970</v>
      </c>
      <c r="N22" s="2" t="s">
        <v>2012</v>
      </c>
      <c r="O22" s="2" t="s">
        <v>2203</v>
      </c>
      <c r="P22" s="2" t="s">
        <v>1988</v>
      </c>
      <c r="Q22" s="2"/>
      <c r="R22" s="11" t="str">
        <f>HYPERLINK("http://slimages.macys.com/is/image/MCY/9449371 ")</f>
        <v xml:space="preserve">http://slimages.macys.com/is/image/MCY/9449371 </v>
      </c>
    </row>
    <row r="23" spans="1:18" ht="24.75" x14ac:dyDescent="0.25">
      <c r="A23" s="8" t="s">
        <v>575</v>
      </c>
      <c r="B23" s="2" t="s">
        <v>576</v>
      </c>
      <c r="C23" s="4">
        <v>1</v>
      </c>
      <c r="D23" s="6">
        <v>17.36</v>
      </c>
      <c r="E23" s="6">
        <v>17.36</v>
      </c>
      <c r="F23" s="9">
        <v>38.99</v>
      </c>
      <c r="G23" s="6">
        <v>38.99</v>
      </c>
      <c r="H23" s="4" t="s">
        <v>577</v>
      </c>
      <c r="I23" s="2" t="s">
        <v>2048</v>
      </c>
      <c r="J23" s="10"/>
      <c r="K23" s="6"/>
      <c r="L23" s="6"/>
      <c r="M23" s="2" t="s">
        <v>1970</v>
      </c>
      <c r="N23" s="2" t="s">
        <v>2012</v>
      </c>
      <c r="O23" s="2" t="s">
        <v>1987</v>
      </c>
      <c r="P23" s="2" t="s">
        <v>1988</v>
      </c>
      <c r="Q23" s="2"/>
      <c r="R23" s="11" t="str">
        <f>HYPERLINK("http://slimages.macys.com/is/image/MCY/9912812 ")</f>
        <v xml:space="preserve">http://slimages.macys.com/is/image/MCY/9912812 </v>
      </c>
    </row>
    <row r="24" spans="1:18" ht="24.75" x14ac:dyDescent="0.25">
      <c r="A24" s="8" t="s">
        <v>578</v>
      </c>
      <c r="B24" s="2" t="s">
        <v>579</v>
      </c>
      <c r="C24" s="4">
        <v>1</v>
      </c>
      <c r="D24" s="6">
        <v>20.02</v>
      </c>
      <c r="E24" s="6">
        <v>20.02</v>
      </c>
      <c r="F24" s="9">
        <v>34.99</v>
      </c>
      <c r="G24" s="6">
        <v>34.99</v>
      </c>
      <c r="H24" s="4" t="s">
        <v>580</v>
      </c>
      <c r="I24" s="2" t="s">
        <v>2026</v>
      </c>
      <c r="J24" s="10"/>
      <c r="K24" s="6"/>
      <c r="L24" s="6"/>
      <c r="M24" s="2" t="s">
        <v>1970</v>
      </c>
      <c r="N24" s="2" t="s">
        <v>2295</v>
      </c>
      <c r="O24" s="2" t="s">
        <v>554</v>
      </c>
      <c r="P24" s="2" t="s">
        <v>1988</v>
      </c>
      <c r="Q24" s="2" t="s">
        <v>2095</v>
      </c>
      <c r="R24" s="11" t="str">
        <f>HYPERLINK("http://slimages.macys.com/is/image/MCY/9976650 ")</f>
        <v xml:space="preserve">http://slimages.macys.com/is/image/MCY/9976650 </v>
      </c>
    </row>
    <row r="25" spans="1:18" ht="24.75" x14ac:dyDescent="0.25">
      <c r="A25" s="8" t="s">
        <v>581</v>
      </c>
      <c r="B25" s="2" t="s">
        <v>582</v>
      </c>
      <c r="C25" s="4">
        <v>1</v>
      </c>
      <c r="D25" s="6">
        <v>20.02</v>
      </c>
      <c r="E25" s="6">
        <v>20.02</v>
      </c>
      <c r="F25" s="9">
        <v>34.99</v>
      </c>
      <c r="G25" s="6">
        <v>34.99</v>
      </c>
      <c r="H25" s="4" t="s">
        <v>583</v>
      </c>
      <c r="I25" s="2" t="s">
        <v>2026</v>
      </c>
      <c r="J25" s="10"/>
      <c r="K25" s="6"/>
      <c r="L25" s="6"/>
      <c r="M25" s="2" t="s">
        <v>1970</v>
      </c>
      <c r="N25" s="2" t="s">
        <v>2295</v>
      </c>
      <c r="O25" s="2" t="s">
        <v>554</v>
      </c>
      <c r="P25" s="2" t="s">
        <v>1988</v>
      </c>
      <c r="Q25" s="2" t="s">
        <v>2095</v>
      </c>
      <c r="R25" s="11" t="str">
        <f>HYPERLINK("http://slimages.macys.com/is/image/MCY/9976650 ")</f>
        <v xml:space="preserve">http://slimages.macys.com/is/image/MCY/9976650 </v>
      </c>
    </row>
    <row r="26" spans="1:18" ht="24.75" x14ac:dyDescent="0.25">
      <c r="A26" s="8" t="s">
        <v>584</v>
      </c>
      <c r="B26" s="2" t="s">
        <v>585</v>
      </c>
      <c r="C26" s="4">
        <v>1</v>
      </c>
      <c r="D26" s="6">
        <v>18.62</v>
      </c>
      <c r="E26" s="6">
        <v>18.62</v>
      </c>
      <c r="F26" s="9">
        <v>49.99</v>
      </c>
      <c r="G26" s="6">
        <v>49.99</v>
      </c>
      <c r="H26" s="4" t="s">
        <v>586</v>
      </c>
      <c r="I26" s="2" t="s">
        <v>587</v>
      </c>
      <c r="J26" s="10" t="s">
        <v>2314</v>
      </c>
      <c r="K26" s="6"/>
      <c r="L26" s="6"/>
      <c r="M26" s="2" t="s">
        <v>1970</v>
      </c>
      <c r="N26" s="2" t="s">
        <v>2295</v>
      </c>
      <c r="O26" s="2" t="s">
        <v>588</v>
      </c>
      <c r="P26" s="2" t="s">
        <v>1988</v>
      </c>
      <c r="Q26" s="2"/>
      <c r="R26" s="11" t="str">
        <f>HYPERLINK("http://slimages.macys.com/is/image/MCY/9936601 ")</f>
        <v xml:space="preserve">http://slimages.macys.com/is/image/MCY/9936601 </v>
      </c>
    </row>
    <row r="27" spans="1:18" ht="24.75" x14ac:dyDescent="0.25">
      <c r="A27" s="8" t="s">
        <v>589</v>
      </c>
      <c r="B27" s="2" t="s">
        <v>590</v>
      </c>
      <c r="C27" s="4">
        <v>1</v>
      </c>
      <c r="D27" s="6">
        <v>17</v>
      </c>
      <c r="E27" s="6">
        <v>17</v>
      </c>
      <c r="F27" s="9">
        <v>44.99</v>
      </c>
      <c r="G27" s="6">
        <v>44.99</v>
      </c>
      <c r="H27" s="4" t="s">
        <v>591</v>
      </c>
      <c r="I27" s="2" t="s">
        <v>2087</v>
      </c>
      <c r="J27" s="10"/>
      <c r="K27" s="6"/>
      <c r="L27" s="6"/>
      <c r="M27" s="2" t="s">
        <v>1970</v>
      </c>
      <c r="N27" s="2" t="s">
        <v>1986</v>
      </c>
      <c r="O27" s="2" t="s">
        <v>2044</v>
      </c>
      <c r="P27" s="2"/>
      <c r="Q27" s="2"/>
      <c r="R27" s="11" t="str">
        <f>HYPERLINK("http://slimages.macys.com/is/image/MCY/10922215 ")</f>
        <v xml:space="preserve">http://slimages.macys.com/is/image/MCY/10922215 </v>
      </c>
    </row>
    <row r="28" spans="1:18" ht="24.75" x14ac:dyDescent="0.25">
      <c r="A28" s="8" t="s">
        <v>592</v>
      </c>
      <c r="B28" s="2" t="s">
        <v>593</v>
      </c>
      <c r="C28" s="4">
        <v>1</v>
      </c>
      <c r="D28" s="6">
        <v>14</v>
      </c>
      <c r="E28" s="6">
        <v>14</v>
      </c>
      <c r="F28" s="9">
        <v>29.99</v>
      </c>
      <c r="G28" s="6">
        <v>29.99</v>
      </c>
      <c r="H28" s="4" t="s">
        <v>594</v>
      </c>
      <c r="I28" s="2" t="s">
        <v>2430</v>
      </c>
      <c r="J28" s="10"/>
      <c r="K28" s="6"/>
      <c r="L28" s="6"/>
      <c r="M28" s="2" t="s">
        <v>1970</v>
      </c>
      <c r="N28" s="2" t="s">
        <v>2012</v>
      </c>
      <c r="O28" s="2" t="s">
        <v>2448</v>
      </c>
      <c r="P28" s="2" t="s">
        <v>1988</v>
      </c>
      <c r="Q28" s="2"/>
      <c r="R28" s="11" t="str">
        <f>HYPERLINK("http://slimages.macys.com/is/image/MCY/13839179 ")</f>
        <v xml:space="preserve">http://slimages.macys.com/is/image/MCY/13839179 </v>
      </c>
    </row>
    <row r="29" spans="1:18" ht="24.75" x14ac:dyDescent="0.25">
      <c r="A29" s="8" t="s">
        <v>595</v>
      </c>
      <c r="B29" s="2" t="s">
        <v>596</v>
      </c>
      <c r="C29" s="4">
        <v>1</v>
      </c>
      <c r="D29" s="6">
        <v>13.67</v>
      </c>
      <c r="E29" s="6">
        <v>13.67</v>
      </c>
      <c r="F29" s="9">
        <v>32.99</v>
      </c>
      <c r="G29" s="6">
        <v>32.99</v>
      </c>
      <c r="H29" s="4" t="s">
        <v>597</v>
      </c>
      <c r="I29" s="2" t="s">
        <v>2071</v>
      </c>
      <c r="J29" s="10"/>
      <c r="K29" s="6"/>
      <c r="L29" s="6"/>
      <c r="M29" s="2" t="s">
        <v>1970</v>
      </c>
      <c r="N29" s="2" t="s">
        <v>2012</v>
      </c>
      <c r="O29" s="2" t="s">
        <v>2088</v>
      </c>
      <c r="P29" s="2" t="s">
        <v>1988</v>
      </c>
      <c r="Q29" s="2" t="s">
        <v>1533</v>
      </c>
      <c r="R29" s="11" t="str">
        <f>HYPERLINK("http://slimages.macys.com/is/image/MCY/3675413 ")</f>
        <v xml:space="preserve">http://slimages.macys.com/is/image/MCY/3675413 </v>
      </c>
    </row>
    <row r="30" spans="1:18" ht="24.75" x14ac:dyDescent="0.25">
      <c r="A30" s="8" t="s">
        <v>1283</v>
      </c>
      <c r="B30" s="2" t="s">
        <v>1284</v>
      </c>
      <c r="C30" s="4">
        <v>1</v>
      </c>
      <c r="D30" s="6">
        <v>15.59</v>
      </c>
      <c r="E30" s="6">
        <v>15.59</v>
      </c>
      <c r="F30" s="9">
        <v>39.99</v>
      </c>
      <c r="G30" s="6">
        <v>39.99</v>
      </c>
      <c r="H30" s="4">
        <v>100041324</v>
      </c>
      <c r="I30" s="2" t="s">
        <v>2026</v>
      </c>
      <c r="J30" s="10" t="s">
        <v>2425</v>
      </c>
      <c r="K30" s="6"/>
      <c r="L30" s="6"/>
      <c r="M30" s="2" t="s">
        <v>1970</v>
      </c>
      <c r="N30" s="2" t="s">
        <v>2295</v>
      </c>
      <c r="O30" s="2" t="s">
        <v>2296</v>
      </c>
      <c r="P30" s="2"/>
      <c r="Q30" s="2"/>
      <c r="R30" s="11" t="str">
        <f>HYPERLINK("http://slimages.macys.com/is/image/MCY/11011077 ")</f>
        <v xml:space="preserve">http://slimages.macys.com/is/image/MCY/11011077 </v>
      </c>
    </row>
    <row r="31" spans="1:18" ht="24.75" x14ac:dyDescent="0.25">
      <c r="A31" s="8" t="s">
        <v>598</v>
      </c>
      <c r="B31" s="2" t="s">
        <v>599</v>
      </c>
      <c r="C31" s="4">
        <v>1</v>
      </c>
      <c r="D31" s="6">
        <v>13.25</v>
      </c>
      <c r="E31" s="6">
        <v>13.25</v>
      </c>
      <c r="F31" s="9">
        <v>29.99</v>
      </c>
      <c r="G31" s="6">
        <v>29.99</v>
      </c>
      <c r="H31" s="4" t="s">
        <v>600</v>
      </c>
      <c r="I31" s="2" t="s">
        <v>2017</v>
      </c>
      <c r="J31" s="10"/>
      <c r="K31" s="6"/>
      <c r="L31" s="6"/>
      <c r="M31" s="2" t="s">
        <v>1970</v>
      </c>
      <c r="N31" s="2" t="s">
        <v>2012</v>
      </c>
      <c r="O31" s="2" t="s">
        <v>2448</v>
      </c>
      <c r="P31" s="2" t="s">
        <v>1988</v>
      </c>
      <c r="Q31" s="2"/>
      <c r="R31" s="11" t="str">
        <f>HYPERLINK("http://slimages.macys.com/is/image/MCY/10043930 ")</f>
        <v xml:space="preserve">http://slimages.macys.com/is/image/MCY/10043930 </v>
      </c>
    </row>
    <row r="32" spans="1:18" ht="24.75" x14ac:dyDescent="0.25">
      <c r="A32" s="8" t="s">
        <v>601</v>
      </c>
      <c r="B32" s="2" t="s">
        <v>602</v>
      </c>
      <c r="C32" s="4">
        <v>1</v>
      </c>
      <c r="D32" s="6">
        <v>12</v>
      </c>
      <c r="E32" s="6">
        <v>12</v>
      </c>
      <c r="F32" s="9">
        <v>24.99</v>
      </c>
      <c r="G32" s="6">
        <v>24.99</v>
      </c>
      <c r="H32" s="4" t="s">
        <v>603</v>
      </c>
      <c r="I32" s="2" t="s">
        <v>2017</v>
      </c>
      <c r="J32" s="10" t="s">
        <v>2431</v>
      </c>
      <c r="K32" s="6"/>
      <c r="L32" s="6"/>
      <c r="M32" s="2" t="s">
        <v>1970</v>
      </c>
      <c r="N32" s="2" t="s">
        <v>2012</v>
      </c>
      <c r="O32" s="2" t="s">
        <v>2448</v>
      </c>
      <c r="P32" s="2" t="s">
        <v>1988</v>
      </c>
      <c r="Q32" s="2" t="s">
        <v>604</v>
      </c>
      <c r="R32" s="11" t="str">
        <f>HYPERLINK("http://slimages.macys.com/is/image/MCY/13384472 ")</f>
        <v xml:space="preserve">http://slimages.macys.com/is/image/MCY/13384472 </v>
      </c>
    </row>
    <row r="33" spans="1:18" ht="24.75" x14ac:dyDescent="0.25">
      <c r="A33" s="8" t="s">
        <v>605</v>
      </c>
      <c r="B33" s="2" t="s">
        <v>606</v>
      </c>
      <c r="C33" s="4">
        <v>1</v>
      </c>
      <c r="D33" s="6">
        <v>11.48</v>
      </c>
      <c r="E33" s="6">
        <v>11.48</v>
      </c>
      <c r="F33" s="9">
        <v>29.99</v>
      </c>
      <c r="G33" s="6">
        <v>29.99</v>
      </c>
      <c r="H33" s="4" t="s">
        <v>607</v>
      </c>
      <c r="I33" s="2" t="s">
        <v>2283</v>
      </c>
      <c r="J33" s="10"/>
      <c r="K33" s="6"/>
      <c r="L33" s="6"/>
      <c r="M33" s="2" t="s">
        <v>1970</v>
      </c>
      <c r="N33" s="2" t="s">
        <v>2012</v>
      </c>
      <c r="O33" s="2" t="s">
        <v>2627</v>
      </c>
      <c r="P33" s="2" t="s">
        <v>1988</v>
      </c>
      <c r="Q33" s="2" t="s">
        <v>2063</v>
      </c>
      <c r="R33" s="11" t="str">
        <f>HYPERLINK("http://slimages.macys.com/is/image/MCY/11303377 ")</f>
        <v xml:space="preserve">http://slimages.macys.com/is/image/MCY/11303377 </v>
      </c>
    </row>
    <row r="34" spans="1:18" ht="24.75" x14ac:dyDescent="0.25">
      <c r="A34" s="8" t="s">
        <v>449</v>
      </c>
      <c r="B34" s="2" t="s">
        <v>608</v>
      </c>
      <c r="C34" s="4">
        <v>1</v>
      </c>
      <c r="D34" s="6">
        <v>10.81</v>
      </c>
      <c r="E34" s="6">
        <v>10.81</v>
      </c>
      <c r="F34" s="9">
        <v>14.99</v>
      </c>
      <c r="G34" s="6">
        <v>14.99</v>
      </c>
      <c r="H34" s="4" t="s">
        <v>451</v>
      </c>
      <c r="I34" s="2"/>
      <c r="J34" s="10" t="s">
        <v>1080</v>
      </c>
      <c r="K34" s="6"/>
      <c r="L34" s="6"/>
      <c r="M34" s="2" t="s">
        <v>1970</v>
      </c>
      <c r="N34" s="2" t="s">
        <v>2184</v>
      </c>
      <c r="O34" s="2" t="s">
        <v>1081</v>
      </c>
      <c r="P34" s="2" t="s">
        <v>2039</v>
      </c>
      <c r="Q34" s="2" t="s">
        <v>1082</v>
      </c>
      <c r="R34" s="11" t="str">
        <f>HYPERLINK("http://slimages.macys.com/is/image/MCY/15633945 ")</f>
        <v xml:space="preserve">http://slimages.macys.com/is/image/MCY/15633945 </v>
      </c>
    </row>
    <row r="35" spans="1:18" ht="24.75" x14ac:dyDescent="0.25">
      <c r="A35" s="8" t="s">
        <v>1186</v>
      </c>
      <c r="B35" s="2" t="s">
        <v>609</v>
      </c>
      <c r="C35" s="4">
        <v>3</v>
      </c>
      <c r="D35" s="6">
        <v>11.39</v>
      </c>
      <c r="E35" s="6">
        <v>34.17</v>
      </c>
      <c r="F35" s="9">
        <v>24.99</v>
      </c>
      <c r="G35" s="6">
        <v>74.97</v>
      </c>
      <c r="H35" s="4">
        <v>78618</v>
      </c>
      <c r="I35" s="2" t="s">
        <v>2021</v>
      </c>
      <c r="J35" s="10" t="s">
        <v>2314</v>
      </c>
      <c r="K35" s="6"/>
      <c r="L35" s="6"/>
      <c r="M35" s="2" t="s">
        <v>1970</v>
      </c>
      <c r="N35" s="2" t="s">
        <v>2012</v>
      </c>
      <c r="O35" s="2" t="s">
        <v>1999</v>
      </c>
      <c r="P35" s="2" t="s">
        <v>1988</v>
      </c>
      <c r="Q35" s="2" t="s">
        <v>1185</v>
      </c>
      <c r="R35" s="11" t="str">
        <f>HYPERLINK("http://slimages.macys.com/is/image/MCY/9359339 ")</f>
        <v xml:space="preserve">http://slimages.macys.com/is/image/MCY/9359339 </v>
      </c>
    </row>
    <row r="36" spans="1:18" ht="24.75" x14ac:dyDescent="0.25">
      <c r="A36" s="8" t="s">
        <v>610</v>
      </c>
      <c r="B36" s="2" t="s">
        <v>611</v>
      </c>
      <c r="C36" s="4">
        <v>1</v>
      </c>
      <c r="D36" s="6">
        <v>10.050000000000001</v>
      </c>
      <c r="E36" s="6">
        <v>10.050000000000001</v>
      </c>
      <c r="F36" s="9">
        <v>24.99</v>
      </c>
      <c r="G36" s="6">
        <v>24.99</v>
      </c>
      <c r="H36" s="4">
        <v>1002668000</v>
      </c>
      <c r="I36" s="2" t="s">
        <v>2162</v>
      </c>
      <c r="J36" s="10" t="s">
        <v>1829</v>
      </c>
      <c r="K36" s="6"/>
      <c r="L36" s="6"/>
      <c r="M36" s="2" t="s">
        <v>1970</v>
      </c>
      <c r="N36" s="2" t="s">
        <v>2396</v>
      </c>
      <c r="O36" s="2" t="s">
        <v>612</v>
      </c>
      <c r="P36" s="2" t="s">
        <v>1988</v>
      </c>
      <c r="Q36" s="2" t="s">
        <v>1995</v>
      </c>
      <c r="R36" s="11" t="str">
        <f>HYPERLINK("http://slimages.macys.com/is/image/MCY/9972807 ")</f>
        <v xml:space="preserve">http://slimages.macys.com/is/image/MCY/9972807 </v>
      </c>
    </row>
    <row r="37" spans="1:18" ht="24.75" x14ac:dyDescent="0.25">
      <c r="A37" s="8" t="s">
        <v>613</v>
      </c>
      <c r="B37" s="2" t="s">
        <v>614</v>
      </c>
      <c r="C37" s="4">
        <v>1</v>
      </c>
      <c r="D37" s="6">
        <v>9.5500000000000007</v>
      </c>
      <c r="E37" s="6">
        <v>9.5500000000000007</v>
      </c>
      <c r="F37" s="9">
        <v>24.99</v>
      </c>
      <c r="G37" s="6">
        <v>24.99</v>
      </c>
      <c r="H37" s="4" t="s">
        <v>615</v>
      </c>
      <c r="I37" s="2" t="s">
        <v>2571</v>
      </c>
      <c r="J37" s="10"/>
      <c r="K37" s="6"/>
      <c r="L37" s="6"/>
      <c r="M37" s="2" t="s">
        <v>1970</v>
      </c>
      <c r="N37" s="2" t="s">
        <v>2184</v>
      </c>
      <c r="O37" s="2" t="s">
        <v>2967</v>
      </c>
      <c r="P37" s="2" t="s">
        <v>1988</v>
      </c>
      <c r="Q37" s="2" t="s">
        <v>1995</v>
      </c>
      <c r="R37" s="11" t="str">
        <f>HYPERLINK("http://slimages.macys.com/is/image/MCY/9367759 ")</f>
        <v xml:space="preserve">http://slimages.macys.com/is/image/MCY/9367759 </v>
      </c>
    </row>
    <row r="38" spans="1:18" ht="24.75" x14ac:dyDescent="0.25">
      <c r="A38" s="8" t="s">
        <v>616</v>
      </c>
      <c r="B38" s="2" t="s">
        <v>617</v>
      </c>
      <c r="C38" s="4">
        <v>1</v>
      </c>
      <c r="D38" s="6">
        <v>9.23</v>
      </c>
      <c r="E38" s="6">
        <v>9.23</v>
      </c>
      <c r="F38" s="9">
        <v>19.989999999999998</v>
      </c>
      <c r="G38" s="6">
        <v>19.989999999999998</v>
      </c>
      <c r="H38" s="4" t="s">
        <v>618</v>
      </c>
      <c r="I38" s="2" t="s">
        <v>2442</v>
      </c>
      <c r="J38" s="10"/>
      <c r="K38" s="6"/>
      <c r="L38" s="6"/>
      <c r="M38" s="2" t="s">
        <v>1970</v>
      </c>
      <c r="N38" s="2" t="s">
        <v>2184</v>
      </c>
      <c r="O38" s="2" t="s">
        <v>2967</v>
      </c>
      <c r="P38" s="2" t="s">
        <v>1988</v>
      </c>
      <c r="Q38" s="2" t="s">
        <v>1995</v>
      </c>
      <c r="R38" s="11" t="str">
        <f>HYPERLINK("http://slimages.macys.com/is/image/MCY/16499104 ")</f>
        <v xml:space="preserve">http://slimages.macys.com/is/image/MCY/16499104 </v>
      </c>
    </row>
    <row r="39" spans="1:18" ht="24.75" x14ac:dyDescent="0.25">
      <c r="A39" s="8" t="s">
        <v>619</v>
      </c>
      <c r="B39" s="2" t="s">
        <v>620</v>
      </c>
      <c r="C39" s="4">
        <v>1</v>
      </c>
      <c r="D39" s="6">
        <v>9.2200000000000006</v>
      </c>
      <c r="E39" s="6">
        <v>9.2200000000000006</v>
      </c>
      <c r="F39" s="9">
        <v>19.989999999999998</v>
      </c>
      <c r="G39" s="6">
        <v>19.989999999999998</v>
      </c>
      <c r="H39" s="4" t="s">
        <v>621</v>
      </c>
      <c r="I39" s="2" t="s">
        <v>2177</v>
      </c>
      <c r="J39" s="10"/>
      <c r="K39" s="6"/>
      <c r="L39" s="6"/>
      <c r="M39" s="2" t="s">
        <v>1970</v>
      </c>
      <c r="N39" s="2" t="s">
        <v>2184</v>
      </c>
      <c r="O39" s="2" t="s">
        <v>622</v>
      </c>
      <c r="P39" s="2" t="s">
        <v>1988</v>
      </c>
      <c r="Q39" s="2" t="s">
        <v>1995</v>
      </c>
      <c r="R39" s="11" t="str">
        <f>HYPERLINK("http://slimages.macys.com/is/image/MCY/15188611 ")</f>
        <v xml:space="preserve">http://slimages.macys.com/is/image/MCY/15188611 </v>
      </c>
    </row>
    <row r="40" spans="1:18" ht="24.75" x14ac:dyDescent="0.25">
      <c r="A40" s="8" t="s">
        <v>623</v>
      </c>
      <c r="B40" s="2" t="s">
        <v>624</v>
      </c>
      <c r="C40" s="4">
        <v>1</v>
      </c>
      <c r="D40" s="6">
        <v>9.6199999999999992</v>
      </c>
      <c r="E40" s="6">
        <v>9.6199999999999992</v>
      </c>
      <c r="F40" s="9">
        <v>19.989999999999998</v>
      </c>
      <c r="G40" s="6">
        <v>19.989999999999998</v>
      </c>
      <c r="H40" s="4" t="s">
        <v>625</v>
      </c>
      <c r="I40" s="2" t="s">
        <v>1993</v>
      </c>
      <c r="J40" s="10"/>
      <c r="K40" s="6"/>
      <c r="L40" s="6"/>
      <c r="M40" s="2" t="s">
        <v>1970</v>
      </c>
      <c r="N40" s="2" t="s">
        <v>2012</v>
      </c>
      <c r="O40" s="2" t="s">
        <v>2196</v>
      </c>
      <c r="P40" s="2" t="s">
        <v>1988</v>
      </c>
      <c r="Q40" s="2"/>
      <c r="R40" s="11" t="str">
        <f>HYPERLINK("http://slimages.macys.com/is/image/MCY/13907238 ")</f>
        <v xml:space="preserve">http://slimages.macys.com/is/image/MCY/13907238 </v>
      </c>
    </row>
    <row r="41" spans="1:18" ht="24.75" x14ac:dyDescent="0.25">
      <c r="A41" s="8" t="s">
        <v>626</v>
      </c>
      <c r="B41" s="2" t="s">
        <v>627</v>
      </c>
      <c r="C41" s="4">
        <v>1</v>
      </c>
      <c r="D41" s="6">
        <v>9.09</v>
      </c>
      <c r="E41" s="6">
        <v>9.09</v>
      </c>
      <c r="F41" s="9">
        <v>19.989999999999998</v>
      </c>
      <c r="G41" s="6">
        <v>19.989999999999998</v>
      </c>
      <c r="H41" s="4" t="s">
        <v>628</v>
      </c>
      <c r="I41" s="2" t="s">
        <v>1993</v>
      </c>
      <c r="J41" s="10"/>
      <c r="K41" s="6"/>
      <c r="L41" s="6"/>
      <c r="M41" s="2" t="s">
        <v>1970</v>
      </c>
      <c r="N41" s="2" t="s">
        <v>2184</v>
      </c>
      <c r="O41" s="2" t="s">
        <v>2967</v>
      </c>
      <c r="P41" s="2" t="s">
        <v>1988</v>
      </c>
      <c r="Q41" s="2" t="s">
        <v>1995</v>
      </c>
      <c r="R41" s="11" t="str">
        <f>HYPERLINK("http://slimages.macys.com/is/image/MCY/15188611 ")</f>
        <v xml:space="preserve">http://slimages.macys.com/is/image/MCY/15188611 </v>
      </c>
    </row>
    <row r="42" spans="1:18" ht="24.75" x14ac:dyDescent="0.25">
      <c r="A42" s="8" t="s">
        <v>629</v>
      </c>
      <c r="B42" s="2" t="s">
        <v>630</v>
      </c>
      <c r="C42" s="4">
        <v>1</v>
      </c>
      <c r="D42" s="6">
        <v>9.09</v>
      </c>
      <c r="E42" s="6">
        <v>9.09</v>
      </c>
      <c r="F42" s="9">
        <v>19.989999999999998</v>
      </c>
      <c r="G42" s="6">
        <v>19.989999999999998</v>
      </c>
      <c r="H42" s="4" t="s">
        <v>631</v>
      </c>
      <c r="I42" s="2" t="s">
        <v>2571</v>
      </c>
      <c r="J42" s="10"/>
      <c r="K42" s="6"/>
      <c r="L42" s="6"/>
      <c r="M42" s="2" t="s">
        <v>1970</v>
      </c>
      <c r="N42" s="2" t="s">
        <v>2184</v>
      </c>
      <c r="O42" s="2" t="s">
        <v>2967</v>
      </c>
      <c r="P42" s="2" t="s">
        <v>1988</v>
      </c>
      <c r="Q42" s="2" t="s">
        <v>1995</v>
      </c>
      <c r="R42" s="11" t="str">
        <f>HYPERLINK("http://slimages.macys.com/is/image/MCY/15188611 ")</f>
        <v xml:space="preserve">http://slimages.macys.com/is/image/MCY/15188611 </v>
      </c>
    </row>
    <row r="43" spans="1:18" ht="24.75" x14ac:dyDescent="0.25">
      <c r="A43" s="8" t="s">
        <v>632</v>
      </c>
      <c r="B43" s="2" t="s">
        <v>633</v>
      </c>
      <c r="C43" s="4">
        <v>1</v>
      </c>
      <c r="D43" s="6">
        <v>9</v>
      </c>
      <c r="E43" s="6">
        <v>9</v>
      </c>
      <c r="F43" s="9">
        <v>19.989999999999998</v>
      </c>
      <c r="G43" s="6">
        <v>19.989999999999998</v>
      </c>
      <c r="H43" s="4" t="s">
        <v>634</v>
      </c>
      <c r="I43" s="2" t="s">
        <v>2077</v>
      </c>
      <c r="J43" s="10" t="s">
        <v>2092</v>
      </c>
      <c r="K43" s="6"/>
      <c r="L43" s="6"/>
      <c r="M43" s="2" t="s">
        <v>1970</v>
      </c>
      <c r="N43" s="2" t="s">
        <v>2093</v>
      </c>
      <c r="O43" s="2" t="s">
        <v>2397</v>
      </c>
      <c r="P43" s="2" t="s">
        <v>1988</v>
      </c>
      <c r="Q43" s="2" t="s">
        <v>2305</v>
      </c>
      <c r="R43" s="11" t="str">
        <f>HYPERLINK("http://slimages.macys.com/is/image/MCY/8951227 ")</f>
        <v xml:space="preserve">http://slimages.macys.com/is/image/MCY/8951227 </v>
      </c>
    </row>
    <row r="44" spans="1:18" ht="24.75" x14ac:dyDescent="0.25">
      <c r="A44" s="8" t="s">
        <v>635</v>
      </c>
      <c r="B44" s="2" t="s">
        <v>636</v>
      </c>
      <c r="C44" s="4">
        <v>1</v>
      </c>
      <c r="D44" s="6">
        <v>8.99</v>
      </c>
      <c r="E44" s="6">
        <v>8.99</v>
      </c>
      <c r="F44" s="9">
        <v>24.99</v>
      </c>
      <c r="G44" s="6">
        <v>24.99</v>
      </c>
      <c r="H44" s="4">
        <v>1005890100</v>
      </c>
      <c r="I44" s="2" t="s">
        <v>2162</v>
      </c>
      <c r="J44" s="10" t="s">
        <v>1829</v>
      </c>
      <c r="K44" s="6"/>
      <c r="L44" s="6"/>
      <c r="M44" s="2" t="s">
        <v>1970</v>
      </c>
      <c r="N44" s="2" t="s">
        <v>2396</v>
      </c>
      <c r="O44" s="2" t="s">
        <v>637</v>
      </c>
      <c r="P44" s="2" t="s">
        <v>1988</v>
      </c>
      <c r="Q44" s="2" t="s">
        <v>2688</v>
      </c>
      <c r="R44" s="11" t="str">
        <f>HYPERLINK("http://slimages.macys.com/is/image/MCY/11261927 ")</f>
        <v xml:space="preserve">http://slimages.macys.com/is/image/MCY/11261927 </v>
      </c>
    </row>
    <row r="45" spans="1:18" ht="24.75" x14ac:dyDescent="0.25">
      <c r="A45" s="8" t="s">
        <v>638</v>
      </c>
      <c r="B45" s="2" t="s">
        <v>639</v>
      </c>
      <c r="C45" s="4">
        <v>1</v>
      </c>
      <c r="D45" s="6">
        <v>9</v>
      </c>
      <c r="E45" s="6">
        <v>9</v>
      </c>
      <c r="F45" s="9">
        <v>19.989999999999998</v>
      </c>
      <c r="G45" s="6">
        <v>19.989999999999998</v>
      </c>
      <c r="H45" s="4" t="s">
        <v>640</v>
      </c>
      <c r="I45" s="2" t="s">
        <v>2430</v>
      </c>
      <c r="J45" s="10" t="s">
        <v>2425</v>
      </c>
      <c r="K45" s="6"/>
      <c r="L45" s="6"/>
      <c r="M45" s="2" t="s">
        <v>1970</v>
      </c>
      <c r="N45" s="2" t="s">
        <v>2012</v>
      </c>
      <c r="O45" s="2" t="s">
        <v>2426</v>
      </c>
      <c r="P45" s="2" t="s">
        <v>1988</v>
      </c>
      <c r="Q45" s="2"/>
      <c r="R45" s="11" t="str">
        <f>HYPERLINK("http://slimages.macys.com/is/image/MCY/13906832 ")</f>
        <v xml:space="preserve">http://slimages.macys.com/is/image/MCY/13906832 </v>
      </c>
    </row>
    <row r="46" spans="1:18" ht="24.75" x14ac:dyDescent="0.25">
      <c r="A46" s="8" t="s">
        <v>641</v>
      </c>
      <c r="B46" s="2" t="s">
        <v>642</v>
      </c>
      <c r="C46" s="4">
        <v>1</v>
      </c>
      <c r="D46" s="6">
        <v>8.27</v>
      </c>
      <c r="E46" s="6">
        <v>8.27</v>
      </c>
      <c r="F46" s="9">
        <v>19.989999999999998</v>
      </c>
      <c r="G46" s="6">
        <v>19.989999999999998</v>
      </c>
      <c r="H46" s="4" t="s">
        <v>643</v>
      </c>
      <c r="I46" s="2"/>
      <c r="J46" s="10"/>
      <c r="K46" s="6"/>
      <c r="L46" s="6"/>
      <c r="M46" s="2" t="s">
        <v>1970</v>
      </c>
      <c r="N46" s="2" t="s">
        <v>2184</v>
      </c>
      <c r="O46" s="2" t="s">
        <v>374</v>
      </c>
      <c r="P46" s="2" t="s">
        <v>2039</v>
      </c>
      <c r="Q46" s="2" t="s">
        <v>644</v>
      </c>
      <c r="R46" s="11" t="str">
        <f>HYPERLINK("http://slimages.macys.com/is/image/MCY/3991349 ")</f>
        <v xml:space="preserve">http://slimages.macys.com/is/image/MCY/3991349 </v>
      </c>
    </row>
    <row r="47" spans="1:18" ht="24.75" x14ac:dyDescent="0.25">
      <c r="A47" s="8" t="s">
        <v>645</v>
      </c>
      <c r="B47" s="2" t="s">
        <v>646</v>
      </c>
      <c r="C47" s="4">
        <v>1</v>
      </c>
      <c r="D47" s="6">
        <v>7.27</v>
      </c>
      <c r="E47" s="6">
        <v>7.27</v>
      </c>
      <c r="F47" s="9">
        <v>19.989999999999998</v>
      </c>
      <c r="G47" s="6">
        <v>19.989999999999998</v>
      </c>
      <c r="H47" s="4" t="s">
        <v>647</v>
      </c>
      <c r="I47" s="2" t="s">
        <v>2017</v>
      </c>
      <c r="J47" s="10"/>
      <c r="K47" s="6"/>
      <c r="L47" s="6"/>
      <c r="M47" s="2" t="s">
        <v>1970</v>
      </c>
      <c r="N47" s="2" t="s">
        <v>2184</v>
      </c>
      <c r="O47" s="2" t="s">
        <v>1987</v>
      </c>
      <c r="P47" s="2" t="s">
        <v>1988</v>
      </c>
      <c r="Q47" s="2" t="s">
        <v>648</v>
      </c>
      <c r="R47" s="11" t="str">
        <f>HYPERLINK("http://slimages.macys.com/is/image/MCY/10044198 ")</f>
        <v xml:space="preserve">http://slimages.macys.com/is/image/MCY/10044198 </v>
      </c>
    </row>
    <row r="48" spans="1:18" ht="24.75" x14ac:dyDescent="0.25">
      <c r="A48" s="8" t="s">
        <v>649</v>
      </c>
      <c r="B48" s="2" t="s">
        <v>650</v>
      </c>
      <c r="C48" s="4">
        <v>2</v>
      </c>
      <c r="D48" s="6">
        <v>6.75</v>
      </c>
      <c r="E48" s="6">
        <v>13.5</v>
      </c>
      <c r="F48" s="9">
        <v>14.99</v>
      </c>
      <c r="G48" s="6">
        <v>29.98</v>
      </c>
      <c r="H48" s="4">
        <v>1005235100</v>
      </c>
      <c r="I48" s="2" t="s">
        <v>2177</v>
      </c>
      <c r="J48" s="10" t="s">
        <v>1571</v>
      </c>
      <c r="K48" s="6"/>
      <c r="L48" s="6"/>
      <c r="M48" s="2" t="s">
        <v>1970</v>
      </c>
      <c r="N48" s="2" t="s">
        <v>2396</v>
      </c>
      <c r="O48" s="2" t="s">
        <v>1579</v>
      </c>
      <c r="P48" s="2" t="s">
        <v>2039</v>
      </c>
      <c r="Q48" s="2" t="s">
        <v>1995</v>
      </c>
      <c r="R48" s="11" t="str">
        <f>HYPERLINK("http://slimages.macys.com/is/image/MCY/10625656 ")</f>
        <v xml:space="preserve">http://slimages.macys.com/is/image/MCY/10625656 </v>
      </c>
    </row>
    <row r="49" spans="1:18" ht="24.75" x14ac:dyDescent="0.25">
      <c r="A49" s="8" t="s">
        <v>43</v>
      </c>
      <c r="B49" s="2" t="s">
        <v>651</v>
      </c>
      <c r="C49" s="4">
        <v>1</v>
      </c>
      <c r="D49" s="6">
        <v>7.65</v>
      </c>
      <c r="E49" s="6">
        <v>7.65</v>
      </c>
      <c r="F49" s="9">
        <v>22.99</v>
      </c>
      <c r="G49" s="6">
        <v>22.99</v>
      </c>
      <c r="H49" s="4" t="s">
        <v>45</v>
      </c>
      <c r="I49" s="2" t="s">
        <v>2026</v>
      </c>
      <c r="J49" s="10"/>
      <c r="K49" s="6"/>
      <c r="L49" s="6"/>
      <c r="M49" s="2" t="s">
        <v>1970</v>
      </c>
      <c r="N49" s="2" t="s">
        <v>1986</v>
      </c>
      <c r="O49" s="2" t="s">
        <v>46</v>
      </c>
      <c r="P49" s="2" t="s">
        <v>1988</v>
      </c>
      <c r="Q49" s="2" t="s">
        <v>1995</v>
      </c>
      <c r="R49" s="11" t="str">
        <f>HYPERLINK("http://slimages.macys.com/is/image/MCY/10181919 ")</f>
        <v xml:space="preserve">http://slimages.macys.com/is/image/MCY/10181919 </v>
      </c>
    </row>
    <row r="50" spans="1:18" ht="24.75" x14ac:dyDescent="0.25">
      <c r="A50" s="8" t="s">
        <v>1580</v>
      </c>
      <c r="B50" s="2" t="s">
        <v>652</v>
      </c>
      <c r="C50" s="4">
        <v>1</v>
      </c>
      <c r="D50" s="6">
        <v>5.45</v>
      </c>
      <c r="E50" s="6">
        <v>5.45</v>
      </c>
      <c r="F50" s="9">
        <v>14.99</v>
      </c>
      <c r="G50" s="6">
        <v>14.99</v>
      </c>
      <c r="H50" s="4" t="s">
        <v>1582</v>
      </c>
      <c r="I50" s="2" t="s">
        <v>2120</v>
      </c>
      <c r="J50" s="10" t="s">
        <v>1571</v>
      </c>
      <c r="K50" s="6"/>
      <c r="L50" s="6"/>
      <c r="M50" s="2" t="s">
        <v>1970</v>
      </c>
      <c r="N50" s="2" t="s">
        <v>2184</v>
      </c>
      <c r="O50" s="2" t="s">
        <v>2967</v>
      </c>
      <c r="P50" s="2" t="s">
        <v>1988</v>
      </c>
      <c r="Q50" s="2" t="s">
        <v>2095</v>
      </c>
      <c r="R50" s="11" t="str">
        <f>HYPERLINK("http://slimages.macys.com/is/image/MCY/9960722 ")</f>
        <v xml:space="preserve">http://slimages.macys.com/is/image/MCY/9960722 </v>
      </c>
    </row>
    <row r="51" spans="1:18" ht="24.75" x14ac:dyDescent="0.25">
      <c r="A51" s="8" t="s">
        <v>653</v>
      </c>
      <c r="B51" s="2" t="s">
        <v>654</v>
      </c>
      <c r="C51" s="4">
        <v>1</v>
      </c>
      <c r="D51" s="6">
        <v>5</v>
      </c>
      <c r="E51" s="6">
        <v>5</v>
      </c>
      <c r="F51" s="9">
        <v>12.99</v>
      </c>
      <c r="G51" s="6">
        <v>12.99</v>
      </c>
      <c r="H51" s="4" t="s">
        <v>655</v>
      </c>
      <c r="I51" s="2" t="s">
        <v>2011</v>
      </c>
      <c r="J51" s="10" t="s">
        <v>861</v>
      </c>
      <c r="K51" s="6"/>
      <c r="L51" s="6"/>
      <c r="M51" s="2" t="s">
        <v>1970</v>
      </c>
      <c r="N51" s="2" t="s">
        <v>2093</v>
      </c>
      <c r="O51" s="2" t="s">
        <v>2397</v>
      </c>
      <c r="P51" s="2" t="s">
        <v>1988</v>
      </c>
      <c r="Q51" s="2"/>
      <c r="R51" s="11" t="str">
        <f>HYPERLINK("http://slimages.macys.com/is/image/MCY/8517958 ")</f>
        <v xml:space="preserve">http://slimages.macys.com/is/image/MCY/8517958 </v>
      </c>
    </row>
    <row r="52" spans="1:18" ht="24.75" x14ac:dyDescent="0.25">
      <c r="A52" s="8" t="s">
        <v>656</v>
      </c>
      <c r="B52" s="2" t="s">
        <v>657</v>
      </c>
      <c r="C52" s="4">
        <v>1</v>
      </c>
      <c r="D52" s="6">
        <v>4.7300000000000004</v>
      </c>
      <c r="E52" s="6">
        <v>4.7300000000000004</v>
      </c>
      <c r="F52" s="9">
        <v>8.99</v>
      </c>
      <c r="G52" s="6">
        <v>8.99</v>
      </c>
      <c r="H52" s="4" t="s">
        <v>658</v>
      </c>
      <c r="I52" s="2" t="s">
        <v>1993</v>
      </c>
      <c r="J52" s="10" t="s">
        <v>2326</v>
      </c>
      <c r="K52" s="6"/>
      <c r="L52" s="6"/>
      <c r="M52" s="2" t="s">
        <v>1970</v>
      </c>
      <c r="N52" s="2" t="s">
        <v>2093</v>
      </c>
      <c r="O52" s="2" t="s">
        <v>1987</v>
      </c>
      <c r="P52" s="2" t="s">
        <v>1988</v>
      </c>
      <c r="Q52" s="2" t="s">
        <v>318</v>
      </c>
      <c r="R52" s="11" t="str">
        <f>HYPERLINK("http://slimages.macys.com/is/image/MCY/14722950 ")</f>
        <v xml:space="preserve">http://slimages.macys.com/is/image/MCY/14722950 </v>
      </c>
    </row>
    <row r="53" spans="1:18" ht="60.75" x14ac:dyDescent="0.25">
      <c r="A53" s="8" t="s">
        <v>659</v>
      </c>
      <c r="B53" s="2" t="s">
        <v>660</v>
      </c>
      <c r="C53" s="4">
        <v>4</v>
      </c>
      <c r="D53" s="6">
        <v>4.3899999999999997</v>
      </c>
      <c r="E53" s="6">
        <v>17.559999999999999</v>
      </c>
      <c r="F53" s="9">
        <v>10.99</v>
      </c>
      <c r="G53" s="6">
        <v>43.96</v>
      </c>
      <c r="H53" s="4" t="s">
        <v>661</v>
      </c>
      <c r="I53" s="2" t="s">
        <v>2026</v>
      </c>
      <c r="J53" s="10" t="s">
        <v>2092</v>
      </c>
      <c r="K53" s="6"/>
      <c r="L53" s="6"/>
      <c r="M53" s="2" t="s">
        <v>1970</v>
      </c>
      <c r="N53" s="2" t="s">
        <v>2093</v>
      </c>
      <c r="O53" s="2" t="s">
        <v>2094</v>
      </c>
      <c r="P53" s="2" t="s">
        <v>1988</v>
      </c>
      <c r="Q53" s="2" t="s">
        <v>662</v>
      </c>
      <c r="R53" s="11" t="str">
        <f>HYPERLINK("http://slimages.macys.com/is/image/MCY/13764786 ")</f>
        <v xml:space="preserve">http://slimages.macys.com/is/image/MCY/13764786 </v>
      </c>
    </row>
    <row r="54" spans="1:18" ht="24.75" x14ac:dyDescent="0.25">
      <c r="A54" s="8" t="s">
        <v>663</v>
      </c>
      <c r="B54" s="2" t="s">
        <v>664</v>
      </c>
      <c r="C54" s="4">
        <v>1</v>
      </c>
      <c r="D54" s="6">
        <v>3.95</v>
      </c>
      <c r="E54" s="6">
        <v>3.95</v>
      </c>
      <c r="F54" s="9">
        <v>9.99</v>
      </c>
      <c r="G54" s="6">
        <v>9.99</v>
      </c>
      <c r="H54" s="4" t="s">
        <v>665</v>
      </c>
      <c r="I54" s="2" t="s">
        <v>2825</v>
      </c>
      <c r="J54" s="10"/>
      <c r="K54" s="6"/>
      <c r="L54" s="6"/>
      <c r="M54" s="2" t="s">
        <v>1970</v>
      </c>
      <c r="N54" s="2" t="s">
        <v>2184</v>
      </c>
      <c r="O54" s="2" t="s">
        <v>666</v>
      </c>
      <c r="P54" s="2" t="s">
        <v>1988</v>
      </c>
      <c r="Q54" s="2" t="s">
        <v>2305</v>
      </c>
      <c r="R54" s="11" t="str">
        <f>HYPERLINK("http://slimages.macys.com/is/image/MCY/10685816 ")</f>
        <v xml:space="preserve">http://slimages.macys.com/is/image/MCY/10685816 </v>
      </c>
    </row>
    <row r="55" spans="1:18" ht="36.75" x14ac:dyDescent="0.25">
      <c r="A55" s="8" t="s">
        <v>667</v>
      </c>
      <c r="B55" s="2" t="s">
        <v>668</v>
      </c>
      <c r="C55" s="4">
        <v>2</v>
      </c>
      <c r="D55" s="6">
        <v>2.25</v>
      </c>
      <c r="E55" s="6">
        <v>4.5</v>
      </c>
      <c r="F55" s="9">
        <v>8.99</v>
      </c>
      <c r="G55" s="6">
        <v>17.98</v>
      </c>
      <c r="H55" s="4" t="s">
        <v>669</v>
      </c>
      <c r="I55" s="2" t="s">
        <v>670</v>
      </c>
      <c r="J55" s="10" t="s">
        <v>861</v>
      </c>
      <c r="K55" s="6"/>
      <c r="L55" s="6"/>
      <c r="M55" s="2" t="s">
        <v>1970</v>
      </c>
      <c r="N55" s="2" t="s">
        <v>2093</v>
      </c>
      <c r="O55" s="2" t="s">
        <v>1242</v>
      </c>
      <c r="P55" s="2" t="s">
        <v>1988</v>
      </c>
      <c r="Q55" s="2" t="s">
        <v>671</v>
      </c>
      <c r="R55" s="11" t="str">
        <f>HYPERLINK("http://slimages.macys.com/is/image/MCY/13344764 ")</f>
        <v xml:space="preserve">http://slimages.macys.com/is/image/MCY/13344764 </v>
      </c>
    </row>
    <row r="56" spans="1:18" ht="24.75" x14ac:dyDescent="0.25">
      <c r="A56" s="8" t="s">
        <v>672</v>
      </c>
      <c r="B56" s="2" t="s">
        <v>673</v>
      </c>
      <c r="C56" s="4">
        <v>1</v>
      </c>
      <c r="D56" s="6">
        <v>2.23</v>
      </c>
      <c r="E56" s="6">
        <v>2.23</v>
      </c>
      <c r="F56" s="9">
        <v>5.99</v>
      </c>
      <c r="G56" s="6">
        <v>5.99</v>
      </c>
      <c r="H56" s="4" t="s">
        <v>674</v>
      </c>
      <c r="I56" s="2" t="s">
        <v>670</v>
      </c>
      <c r="J56" s="10" t="s">
        <v>675</v>
      </c>
      <c r="K56" s="6"/>
      <c r="L56" s="6"/>
      <c r="M56" s="2" t="s">
        <v>1970</v>
      </c>
      <c r="N56" s="2" t="s">
        <v>2093</v>
      </c>
      <c r="O56" s="2" t="s">
        <v>2967</v>
      </c>
      <c r="P56" s="2" t="s">
        <v>1988</v>
      </c>
      <c r="Q56" s="2"/>
      <c r="R56" s="11" t="str">
        <f>HYPERLINK("http://slimages.macys.com/is/image/MCY/8149442 ")</f>
        <v xml:space="preserve">http://slimages.macys.com/is/image/MCY/8149442 </v>
      </c>
    </row>
    <row r="57" spans="1:18" ht="24.75" x14ac:dyDescent="0.25">
      <c r="A57" s="8" t="s">
        <v>676</v>
      </c>
      <c r="B57" s="2" t="s">
        <v>677</v>
      </c>
      <c r="C57" s="4">
        <v>1</v>
      </c>
      <c r="D57" s="6">
        <v>2.0299999999999998</v>
      </c>
      <c r="E57" s="6">
        <v>2.0299999999999998</v>
      </c>
      <c r="F57" s="9">
        <v>6.99</v>
      </c>
      <c r="G57" s="6">
        <v>6.99</v>
      </c>
      <c r="H57" s="4" t="s">
        <v>678</v>
      </c>
      <c r="I57" s="2" t="s">
        <v>2424</v>
      </c>
      <c r="J57" s="10" t="s">
        <v>2092</v>
      </c>
      <c r="K57" s="6"/>
      <c r="L57" s="6"/>
      <c r="M57" s="2" t="s">
        <v>1970</v>
      </c>
      <c r="N57" s="2" t="s">
        <v>2093</v>
      </c>
      <c r="O57" s="2" t="s">
        <v>311</v>
      </c>
      <c r="P57" s="2" t="s">
        <v>1988</v>
      </c>
      <c r="Q57" s="2" t="s">
        <v>2305</v>
      </c>
      <c r="R57" s="11" t="str">
        <f>HYPERLINK("http://slimages.macys.com/is/image/MCY/10156125 ")</f>
        <v xml:space="preserve">http://slimages.macys.com/is/image/MCY/10156125 </v>
      </c>
    </row>
    <row r="58" spans="1:18" ht="24.75" x14ac:dyDescent="0.25">
      <c r="A58" s="8" t="s">
        <v>308</v>
      </c>
      <c r="B58" s="2" t="s">
        <v>309</v>
      </c>
      <c r="C58" s="4">
        <v>1</v>
      </c>
      <c r="D58" s="6">
        <v>2.0299999999999998</v>
      </c>
      <c r="E58" s="6">
        <v>2.0299999999999998</v>
      </c>
      <c r="F58" s="9">
        <v>6.99</v>
      </c>
      <c r="G58" s="6">
        <v>6.99</v>
      </c>
      <c r="H58" s="4" t="s">
        <v>310</v>
      </c>
      <c r="I58" s="2" t="s">
        <v>2026</v>
      </c>
      <c r="J58" s="10" t="s">
        <v>2092</v>
      </c>
      <c r="K58" s="6"/>
      <c r="L58" s="6"/>
      <c r="M58" s="2" t="s">
        <v>1970</v>
      </c>
      <c r="N58" s="2" t="s">
        <v>2093</v>
      </c>
      <c r="O58" s="2" t="s">
        <v>311</v>
      </c>
      <c r="P58" s="2" t="s">
        <v>1988</v>
      </c>
      <c r="Q58" s="2" t="s">
        <v>2305</v>
      </c>
      <c r="R58" s="11" t="str">
        <f>HYPERLINK("http://slimages.macys.com/is/image/MCY/10156125 ")</f>
        <v xml:space="preserve">http://slimages.macys.com/is/image/MCY/10156125 </v>
      </c>
    </row>
    <row r="59" spans="1:18" ht="24.75" x14ac:dyDescent="0.25">
      <c r="A59" s="8" t="s">
        <v>679</v>
      </c>
      <c r="B59" s="2" t="s">
        <v>680</v>
      </c>
      <c r="C59" s="4">
        <v>1</v>
      </c>
      <c r="D59" s="6">
        <v>1.85</v>
      </c>
      <c r="E59" s="6">
        <v>1.85</v>
      </c>
      <c r="F59" s="9">
        <v>4.99</v>
      </c>
      <c r="G59" s="6">
        <v>4.99</v>
      </c>
      <c r="H59" s="4">
        <v>356667810</v>
      </c>
      <c r="I59" s="2" t="s">
        <v>2571</v>
      </c>
      <c r="J59" s="10" t="s">
        <v>2092</v>
      </c>
      <c r="K59" s="6"/>
      <c r="L59" s="6"/>
      <c r="M59" s="2" t="s">
        <v>1970</v>
      </c>
      <c r="N59" s="2" t="s">
        <v>2093</v>
      </c>
      <c r="O59" s="2" t="s">
        <v>325</v>
      </c>
      <c r="P59" s="2" t="s">
        <v>1988</v>
      </c>
      <c r="Q59" s="2" t="s">
        <v>2095</v>
      </c>
      <c r="R59" s="11" t="str">
        <f>HYPERLINK("http://slimages.macys.com/is/image/MCY/8916599 ")</f>
        <v xml:space="preserve">http://slimages.macys.com/is/image/MCY/8916599 </v>
      </c>
    </row>
    <row r="60" spans="1:18" ht="24.75" x14ac:dyDescent="0.25">
      <c r="A60" s="8" t="s">
        <v>681</v>
      </c>
      <c r="B60" s="2" t="s">
        <v>682</v>
      </c>
      <c r="C60" s="4">
        <v>3</v>
      </c>
      <c r="D60" s="6">
        <v>1.67</v>
      </c>
      <c r="E60" s="6">
        <v>5.01</v>
      </c>
      <c r="F60" s="9">
        <v>4.99</v>
      </c>
      <c r="G60" s="6">
        <v>14.97</v>
      </c>
      <c r="H60" s="4" t="s">
        <v>683</v>
      </c>
      <c r="I60" s="2" t="s">
        <v>2026</v>
      </c>
      <c r="J60" s="10" t="s">
        <v>2342</v>
      </c>
      <c r="K60" s="6"/>
      <c r="L60" s="6"/>
      <c r="M60" s="2" t="s">
        <v>1970</v>
      </c>
      <c r="N60" s="2" t="s">
        <v>2093</v>
      </c>
      <c r="O60" s="2" t="s">
        <v>1987</v>
      </c>
      <c r="P60" s="2" t="s">
        <v>1988</v>
      </c>
      <c r="Q60" s="2" t="s">
        <v>318</v>
      </c>
      <c r="R60" s="11" t="str">
        <f>HYPERLINK("http://slimages.macys.com/is/image/MCY/14724370 ")</f>
        <v xml:space="preserve">http://slimages.macys.com/is/image/MCY/14724370 </v>
      </c>
    </row>
    <row r="61" spans="1:18" ht="24.75" x14ac:dyDescent="0.25">
      <c r="A61" s="8" t="s">
        <v>684</v>
      </c>
      <c r="B61" s="2" t="s">
        <v>685</v>
      </c>
      <c r="C61" s="4">
        <v>1</v>
      </c>
      <c r="D61" s="6">
        <v>1.49</v>
      </c>
      <c r="E61" s="6">
        <v>1.49</v>
      </c>
      <c r="F61" s="9">
        <v>5.99</v>
      </c>
      <c r="G61" s="6">
        <v>5.99</v>
      </c>
      <c r="H61" s="4" t="s">
        <v>686</v>
      </c>
      <c r="I61" s="2" t="s">
        <v>1985</v>
      </c>
      <c r="J61" s="10" t="s">
        <v>2092</v>
      </c>
      <c r="K61" s="6"/>
      <c r="L61" s="6"/>
      <c r="M61" s="2" t="s">
        <v>1970</v>
      </c>
      <c r="N61" s="2" t="s">
        <v>2093</v>
      </c>
      <c r="O61" s="2" t="s">
        <v>298</v>
      </c>
      <c r="P61" s="2" t="s">
        <v>1988</v>
      </c>
      <c r="Q61" s="2" t="s">
        <v>1108</v>
      </c>
      <c r="R61" s="11" t="str">
        <f>HYPERLINK("http://slimages.macys.com/is/image/MCY/12782497 ")</f>
        <v xml:space="preserve">http://slimages.macys.com/is/image/MCY/12782497 </v>
      </c>
    </row>
    <row r="62" spans="1:18" ht="36.75" x14ac:dyDescent="0.25">
      <c r="A62" s="8" t="s">
        <v>687</v>
      </c>
      <c r="B62" s="2" t="s">
        <v>688</v>
      </c>
      <c r="C62" s="4">
        <v>1</v>
      </c>
      <c r="D62" s="6">
        <v>1.17</v>
      </c>
      <c r="E62" s="6">
        <v>1.17</v>
      </c>
      <c r="F62" s="9">
        <v>3.99</v>
      </c>
      <c r="G62" s="6">
        <v>3.99</v>
      </c>
      <c r="H62" s="4" t="s">
        <v>689</v>
      </c>
      <c r="I62" s="2" t="s">
        <v>2430</v>
      </c>
      <c r="J62" s="10" t="s">
        <v>861</v>
      </c>
      <c r="K62" s="6"/>
      <c r="L62" s="6"/>
      <c r="M62" s="2" t="s">
        <v>1970</v>
      </c>
      <c r="N62" s="2" t="s">
        <v>2093</v>
      </c>
      <c r="O62" s="2" t="s">
        <v>298</v>
      </c>
      <c r="P62" s="2" t="s">
        <v>1988</v>
      </c>
      <c r="Q62" s="2" t="s">
        <v>690</v>
      </c>
      <c r="R62" s="11" t="str">
        <f>HYPERLINK("http://slimages.macys.com/is/image/MCY/10028689 ")</f>
        <v xml:space="preserve">http://slimages.macys.com/is/image/MCY/10028689 </v>
      </c>
    </row>
    <row r="63" spans="1:18" ht="24.75" x14ac:dyDescent="0.25">
      <c r="A63" s="8" t="s">
        <v>691</v>
      </c>
      <c r="B63" s="2" t="s">
        <v>692</v>
      </c>
      <c r="C63" s="4">
        <v>1</v>
      </c>
      <c r="D63" s="6">
        <v>1.17</v>
      </c>
      <c r="E63" s="6">
        <v>1.17</v>
      </c>
      <c r="F63" s="9">
        <v>3.99</v>
      </c>
      <c r="G63" s="6">
        <v>3.99</v>
      </c>
      <c r="H63" s="4" t="s">
        <v>693</v>
      </c>
      <c r="I63" s="2" t="s">
        <v>2430</v>
      </c>
      <c r="J63" s="10" t="s">
        <v>861</v>
      </c>
      <c r="K63" s="6"/>
      <c r="L63" s="6"/>
      <c r="M63" s="2" t="s">
        <v>1970</v>
      </c>
      <c r="N63" s="2" t="s">
        <v>2093</v>
      </c>
      <c r="O63" s="2" t="s">
        <v>298</v>
      </c>
      <c r="P63" s="2" t="s">
        <v>1988</v>
      </c>
      <c r="Q63" s="2" t="s">
        <v>2305</v>
      </c>
      <c r="R63" s="11" t="str">
        <f>HYPERLINK("http://slimages.macys.com/is/image/MCY/10028772 ")</f>
        <v xml:space="preserve">http://slimages.macys.com/is/image/MCY/10028772 </v>
      </c>
    </row>
  </sheetData>
  <phoneticPr fontId="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63"/>
  <sheetViews>
    <sheetView topLeftCell="A52" workbookViewId="0">
      <selection activeCell="L74" sqref="L74"/>
    </sheetView>
  </sheetViews>
  <sheetFormatPr defaultRowHeight="15" x14ac:dyDescent="0.25"/>
  <cols>
    <col min="1" max="1" width="14.28515625" customWidth="1"/>
    <col min="2" max="2" width="28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144.75" x14ac:dyDescent="0.25">
      <c r="A2" s="8" t="s">
        <v>326</v>
      </c>
      <c r="B2" s="2" t="s">
        <v>327</v>
      </c>
      <c r="C2" s="4">
        <v>1</v>
      </c>
      <c r="D2" s="6">
        <v>63.65</v>
      </c>
      <c r="E2" s="6">
        <v>63.65</v>
      </c>
      <c r="F2" s="9">
        <v>154.99</v>
      </c>
      <c r="G2" s="6">
        <v>154.99</v>
      </c>
      <c r="H2" s="4" t="s">
        <v>328</v>
      </c>
      <c r="I2" s="2" t="s">
        <v>2177</v>
      </c>
      <c r="J2" s="10"/>
      <c r="K2" s="6"/>
      <c r="L2" s="6"/>
      <c r="M2" s="2" t="s">
        <v>1970</v>
      </c>
      <c r="N2" s="2" t="s">
        <v>1986</v>
      </c>
      <c r="O2" s="2" t="s">
        <v>1987</v>
      </c>
      <c r="P2" s="2" t="s">
        <v>1988</v>
      </c>
      <c r="Q2" s="2" t="s">
        <v>329</v>
      </c>
      <c r="R2" s="11" t="str">
        <f>HYPERLINK("http://slimages.macys.com/is/image/MCY/8928495 ")</f>
        <v xml:space="preserve">http://slimages.macys.com/is/image/MCY/8928495 </v>
      </c>
    </row>
    <row r="3" spans="1:18" ht="84.75" x14ac:dyDescent="0.25">
      <c r="A3" s="8" t="s">
        <v>330</v>
      </c>
      <c r="B3" s="2" t="s">
        <v>331</v>
      </c>
      <c r="C3" s="4">
        <v>1</v>
      </c>
      <c r="D3" s="6">
        <v>63.29</v>
      </c>
      <c r="E3" s="6">
        <v>63.29</v>
      </c>
      <c r="F3" s="9">
        <v>169.99</v>
      </c>
      <c r="G3" s="6">
        <v>169.99</v>
      </c>
      <c r="H3" s="4" t="s">
        <v>332</v>
      </c>
      <c r="I3" s="2" t="s">
        <v>2424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2631</v>
      </c>
      <c r="R3" s="11" t="str">
        <f>HYPERLINK("http://slimages.macys.com/is/image/MCY/9627753 ")</f>
        <v xml:space="preserve">http://slimages.macys.com/is/image/MCY/9627753 </v>
      </c>
    </row>
    <row r="4" spans="1:18" ht="36.75" x14ac:dyDescent="0.25">
      <c r="A4" s="8" t="s">
        <v>333</v>
      </c>
      <c r="B4" s="2" t="s">
        <v>334</v>
      </c>
      <c r="C4" s="4">
        <v>1</v>
      </c>
      <c r="D4" s="6">
        <v>47.62</v>
      </c>
      <c r="E4" s="6">
        <v>47.62</v>
      </c>
      <c r="F4" s="9">
        <v>129.99</v>
      </c>
      <c r="G4" s="6">
        <v>129.99</v>
      </c>
      <c r="H4" s="4">
        <v>217043</v>
      </c>
      <c r="I4" s="2" t="s">
        <v>2811</v>
      </c>
      <c r="J4" s="10" t="s">
        <v>335</v>
      </c>
      <c r="K4" s="6"/>
      <c r="L4" s="6"/>
      <c r="M4" s="2" t="s">
        <v>1970</v>
      </c>
      <c r="N4" s="2" t="s">
        <v>2012</v>
      </c>
      <c r="O4" s="2" t="s">
        <v>336</v>
      </c>
      <c r="P4" s="2" t="s">
        <v>1988</v>
      </c>
      <c r="Q4" s="2" t="s">
        <v>337</v>
      </c>
      <c r="R4" s="11" t="str">
        <f>HYPERLINK("http://slimages.macys.com/is/image/MCY/3823286 ")</f>
        <v xml:space="preserve">http://slimages.macys.com/is/image/MCY/3823286 </v>
      </c>
    </row>
    <row r="5" spans="1:18" ht="24.75" x14ac:dyDescent="0.25">
      <c r="A5" s="8" t="s">
        <v>338</v>
      </c>
      <c r="B5" s="2" t="s">
        <v>339</v>
      </c>
      <c r="C5" s="4">
        <v>1</v>
      </c>
      <c r="D5" s="6">
        <v>47.13</v>
      </c>
      <c r="E5" s="6">
        <v>47.13</v>
      </c>
      <c r="F5" s="9">
        <v>151.99</v>
      </c>
      <c r="G5" s="6">
        <v>151.99</v>
      </c>
      <c r="H5" s="4">
        <v>77330</v>
      </c>
      <c r="I5" s="2" t="s">
        <v>2560</v>
      </c>
      <c r="J5" s="10"/>
      <c r="K5" s="6"/>
      <c r="L5" s="6"/>
      <c r="M5" s="2" t="s">
        <v>1970</v>
      </c>
      <c r="N5" s="2" t="s">
        <v>1986</v>
      </c>
      <c r="O5" s="2" t="s">
        <v>1999</v>
      </c>
      <c r="P5" s="2" t="s">
        <v>1988</v>
      </c>
      <c r="Q5" s="2" t="s">
        <v>340</v>
      </c>
      <c r="R5" s="11" t="str">
        <f>HYPERLINK("http://slimages.macys.com/is/image/MCY/12235440 ")</f>
        <v xml:space="preserve">http://slimages.macys.com/is/image/MCY/12235440 </v>
      </c>
    </row>
    <row r="6" spans="1:18" ht="132.75" x14ac:dyDescent="0.25">
      <c r="A6" s="8" t="s">
        <v>341</v>
      </c>
      <c r="B6" s="2" t="s">
        <v>342</v>
      </c>
      <c r="C6" s="4">
        <v>1</v>
      </c>
      <c r="D6" s="6">
        <v>40.92</v>
      </c>
      <c r="E6" s="6">
        <v>40.92</v>
      </c>
      <c r="F6" s="9">
        <v>99.99</v>
      </c>
      <c r="G6" s="6">
        <v>99.99</v>
      </c>
      <c r="H6" s="4" t="s">
        <v>343</v>
      </c>
      <c r="I6" s="2" t="s">
        <v>2162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344</v>
      </c>
      <c r="R6" s="11" t="str">
        <f>HYPERLINK("http://slimages.macys.com/is/image/MCY/9188021 ")</f>
        <v xml:space="preserve">http://slimages.macys.com/is/image/MCY/9188021 </v>
      </c>
    </row>
    <row r="7" spans="1:18" ht="24.75" x14ac:dyDescent="0.25">
      <c r="A7" s="8" t="s">
        <v>345</v>
      </c>
      <c r="B7" s="2" t="s">
        <v>346</v>
      </c>
      <c r="C7" s="4">
        <v>1</v>
      </c>
      <c r="D7" s="6">
        <v>38.6</v>
      </c>
      <c r="E7" s="6">
        <v>38.6</v>
      </c>
      <c r="F7" s="9">
        <v>89.99</v>
      </c>
      <c r="G7" s="6">
        <v>89.99</v>
      </c>
      <c r="H7" s="4" t="s">
        <v>347</v>
      </c>
      <c r="I7" s="2" t="s">
        <v>2087</v>
      </c>
      <c r="J7" s="10"/>
      <c r="K7" s="6"/>
      <c r="L7" s="6"/>
      <c r="M7" s="2" t="s">
        <v>1970</v>
      </c>
      <c r="N7" s="2" t="s">
        <v>2167</v>
      </c>
      <c r="O7" s="2" t="s">
        <v>2469</v>
      </c>
      <c r="P7" s="2" t="s">
        <v>1988</v>
      </c>
      <c r="Q7" s="2"/>
      <c r="R7" s="11" t="str">
        <f>HYPERLINK("http://slimages.macys.com/is/image/MCY/10015969 ")</f>
        <v xml:space="preserve">http://slimages.macys.com/is/image/MCY/10015969 </v>
      </c>
    </row>
    <row r="8" spans="1:18" ht="24.75" x14ac:dyDescent="0.25">
      <c r="A8" s="8" t="s">
        <v>348</v>
      </c>
      <c r="B8" s="2" t="s">
        <v>349</v>
      </c>
      <c r="C8" s="4">
        <v>1</v>
      </c>
      <c r="D8" s="6">
        <v>28.45</v>
      </c>
      <c r="E8" s="6">
        <v>28.45</v>
      </c>
      <c r="F8" s="9">
        <v>59.99</v>
      </c>
      <c r="G8" s="6">
        <v>59.99</v>
      </c>
      <c r="H8" s="4">
        <v>1001278700</v>
      </c>
      <c r="I8" s="2" t="s">
        <v>2017</v>
      </c>
      <c r="J8" s="10"/>
      <c r="K8" s="6"/>
      <c r="L8" s="6"/>
      <c r="M8" s="2" t="s">
        <v>1970</v>
      </c>
      <c r="N8" s="2" t="s">
        <v>2396</v>
      </c>
      <c r="O8" s="2" t="s">
        <v>1010</v>
      </c>
      <c r="P8" s="2" t="s">
        <v>1988</v>
      </c>
      <c r="Q8" s="2"/>
      <c r="R8" s="11" t="str">
        <f>HYPERLINK("http://slimages.macys.com/is/image/MCY/9263413 ")</f>
        <v xml:space="preserve">http://slimages.macys.com/is/image/MCY/9263413 </v>
      </c>
    </row>
    <row r="9" spans="1:18" ht="24.75" x14ac:dyDescent="0.25">
      <c r="A9" s="8" t="s">
        <v>350</v>
      </c>
      <c r="B9" s="2" t="s">
        <v>351</v>
      </c>
      <c r="C9" s="4">
        <v>1</v>
      </c>
      <c r="D9" s="6">
        <v>24.25</v>
      </c>
      <c r="E9" s="6">
        <v>24.25</v>
      </c>
      <c r="F9" s="9">
        <v>54.99</v>
      </c>
      <c r="G9" s="6">
        <v>54.99</v>
      </c>
      <c r="H9" s="4" t="s">
        <v>352</v>
      </c>
      <c r="I9" s="2" t="s">
        <v>2603</v>
      </c>
      <c r="J9" s="10"/>
      <c r="K9" s="6"/>
      <c r="L9" s="6"/>
      <c r="M9" s="2" t="s">
        <v>1970</v>
      </c>
      <c r="N9" s="2" t="s">
        <v>2012</v>
      </c>
      <c r="O9" s="2" t="s">
        <v>1386</v>
      </c>
      <c r="P9" s="2" t="s">
        <v>1988</v>
      </c>
      <c r="Q9" s="2"/>
      <c r="R9" s="11" t="str">
        <f>HYPERLINK("http://slimages.macys.com/is/image/MCY/8907091 ")</f>
        <v xml:space="preserve">http://slimages.macys.com/is/image/MCY/8907091 </v>
      </c>
    </row>
    <row r="10" spans="1:18" ht="24.75" x14ac:dyDescent="0.25">
      <c r="A10" s="8" t="s">
        <v>353</v>
      </c>
      <c r="B10" s="2" t="s">
        <v>354</v>
      </c>
      <c r="C10" s="4">
        <v>1</v>
      </c>
      <c r="D10" s="6">
        <v>23</v>
      </c>
      <c r="E10" s="6">
        <v>23</v>
      </c>
      <c r="F10" s="9">
        <v>106.99</v>
      </c>
      <c r="G10" s="6">
        <v>106.99</v>
      </c>
      <c r="H10" s="4" t="s">
        <v>355</v>
      </c>
      <c r="I10" s="2" t="s">
        <v>2026</v>
      </c>
      <c r="J10" s="10" t="s">
        <v>2107</v>
      </c>
      <c r="K10" s="6"/>
      <c r="L10" s="6"/>
      <c r="M10" s="2" t="s">
        <v>1970</v>
      </c>
      <c r="N10" s="2" t="s">
        <v>2012</v>
      </c>
      <c r="O10" s="2" t="s">
        <v>356</v>
      </c>
      <c r="P10" s="2" t="s">
        <v>1988</v>
      </c>
      <c r="Q10" s="2" t="s">
        <v>1995</v>
      </c>
      <c r="R10" s="11" t="str">
        <f>HYPERLINK("http://slimages.macys.com/is/image/MCY/11585775 ")</f>
        <v xml:space="preserve">http://slimages.macys.com/is/image/MCY/11585775 </v>
      </c>
    </row>
    <row r="11" spans="1:18" ht="24.75" x14ac:dyDescent="0.25">
      <c r="A11" s="8" t="s">
        <v>357</v>
      </c>
      <c r="B11" s="2" t="s">
        <v>358</v>
      </c>
      <c r="C11" s="4">
        <v>2</v>
      </c>
      <c r="D11" s="6">
        <v>24.78</v>
      </c>
      <c r="E11" s="6">
        <v>49.56</v>
      </c>
      <c r="F11" s="9">
        <v>39.99</v>
      </c>
      <c r="G11" s="6">
        <v>79.98</v>
      </c>
      <c r="H11" s="4" t="s">
        <v>359</v>
      </c>
      <c r="I11" s="2" t="s">
        <v>2106</v>
      </c>
      <c r="J11" s="10" t="s">
        <v>2374</v>
      </c>
      <c r="K11" s="6"/>
      <c r="L11" s="6"/>
      <c r="M11" s="2" t="s">
        <v>1970</v>
      </c>
      <c r="N11" s="2" t="s">
        <v>991</v>
      </c>
      <c r="O11" s="2" t="s">
        <v>360</v>
      </c>
      <c r="P11" s="2" t="s">
        <v>2039</v>
      </c>
      <c r="Q11" s="2" t="s">
        <v>361</v>
      </c>
      <c r="R11" s="11" t="str">
        <f>HYPERLINK("http://slimages.macys.com/is/image/MCY/1249344 ")</f>
        <v xml:space="preserve">http://slimages.macys.com/is/image/MCY/1249344 </v>
      </c>
    </row>
    <row r="12" spans="1:18" ht="36.75" x14ac:dyDescent="0.25">
      <c r="A12" s="8" t="s">
        <v>362</v>
      </c>
      <c r="B12" s="2" t="s">
        <v>363</v>
      </c>
      <c r="C12" s="4">
        <v>2</v>
      </c>
      <c r="D12" s="6">
        <v>20.46</v>
      </c>
      <c r="E12" s="6">
        <v>40.92</v>
      </c>
      <c r="F12" s="9">
        <v>59.99</v>
      </c>
      <c r="G12" s="6">
        <v>119.98</v>
      </c>
      <c r="H12" s="4" t="s">
        <v>364</v>
      </c>
      <c r="I12" s="2" t="s">
        <v>1086</v>
      </c>
      <c r="J12" s="10" t="s">
        <v>2107</v>
      </c>
      <c r="K12" s="6"/>
      <c r="L12" s="6"/>
      <c r="M12" s="2" t="s">
        <v>1970</v>
      </c>
      <c r="N12" s="2" t="s">
        <v>2012</v>
      </c>
      <c r="O12" s="2" t="s">
        <v>2062</v>
      </c>
      <c r="P12" s="2" t="s">
        <v>1988</v>
      </c>
      <c r="Q12" s="2" t="s">
        <v>365</v>
      </c>
      <c r="R12" s="11" t="str">
        <f>HYPERLINK("http://slimages.macys.com/is/image/MCY/9456407 ")</f>
        <v xml:space="preserve">http://slimages.macys.com/is/image/MCY/9456407 </v>
      </c>
    </row>
    <row r="13" spans="1:18" ht="24.75" x14ac:dyDescent="0.25">
      <c r="A13" s="8" t="s">
        <v>366</v>
      </c>
      <c r="B13" s="2" t="s">
        <v>367</v>
      </c>
      <c r="C13" s="4">
        <v>1</v>
      </c>
      <c r="D13" s="6">
        <v>19.13</v>
      </c>
      <c r="E13" s="6">
        <v>19.13</v>
      </c>
      <c r="F13" s="9">
        <v>48.99</v>
      </c>
      <c r="G13" s="6">
        <v>48.99</v>
      </c>
      <c r="H13" s="4" t="s">
        <v>368</v>
      </c>
      <c r="I13" s="2" t="s">
        <v>2358</v>
      </c>
      <c r="J13" s="10"/>
      <c r="K13" s="6"/>
      <c r="L13" s="6"/>
      <c r="M13" s="2" t="s">
        <v>1970</v>
      </c>
      <c r="N13" s="2" t="s">
        <v>2184</v>
      </c>
      <c r="O13" s="2" t="s">
        <v>2044</v>
      </c>
      <c r="P13" s="2" t="s">
        <v>1988</v>
      </c>
      <c r="Q13" s="2" t="s">
        <v>2770</v>
      </c>
      <c r="R13" s="11" t="str">
        <f>HYPERLINK("http://slimages.macys.com/is/image/MCY/13765121 ")</f>
        <v xml:space="preserve">http://slimages.macys.com/is/image/MCY/13765121 </v>
      </c>
    </row>
    <row r="14" spans="1:18" ht="24.75" x14ac:dyDescent="0.25">
      <c r="A14" s="8" t="s">
        <v>369</v>
      </c>
      <c r="B14" s="2" t="s">
        <v>370</v>
      </c>
      <c r="C14" s="4">
        <v>1</v>
      </c>
      <c r="D14" s="6">
        <v>22.6</v>
      </c>
      <c r="E14" s="6">
        <v>22.6</v>
      </c>
      <c r="F14" s="9">
        <v>81.99</v>
      </c>
      <c r="G14" s="6">
        <v>81.99</v>
      </c>
      <c r="H14" s="4" t="s">
        <v>371</v>
      </c>
      <c r="I14" s="2" t="s">
        <v>2017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2688</v>
      </c>
      <c r="R14" s="11" t="str">
        <f>HYPERLINK("http://slimages.macys.com/is/image/MCY/12496254 ")</f>
        <v xml:space="preserve">http://slimages.macys.com/is/image/MCY/12496254 </v>
      </c>
    </row>
    <row r="15" spans="1:18" ht="24.75" x14ac:dyDescent="0.25">
      <c r="A15" s="8" t="s">
        <v>372</v>
      </c>
      <c r="B15" s="2" t="s">
        <v>373</v>
      </c>
      <c r="C15" s="4">
        <v>1</v>
      </c>
      <c r="D15" s="6">
        <v>17.7</v>
      </c>
      <c r="E15" s="6">
        <v>17.7</v>
      </c>
      <c r="F15" s="9">
        <v>44.99</v>
      </c>
      <c r="G15" s="6">
        <v>44.99</v>
      </c>
      <c r="H15" s="4">
        <v>18789</v>
      </c>
      <c r="I15" s="2"/>
      <c r="J15" s="10"/>
      <c r="K15" s="6"/>
      <c r="L15" s="6"/>
      <c r="M15" s="2" t="s">
        <v>1970</v>
      </c>
      <c r="N15" s="2" t="s">
        <v>2184</v>
      </c>
      <c r="O15" s="2" t="s">
        <v>374</v>
      </c>
      <c r="P15" s="2" t="s">
        <v>1988</v>
      </c>
      <c r="Q15" s="2" t="s">
        <v>375</v>
      </c>
      <c r="R15" s="11" t="str">
        <f>HYPERLINK("http://slimages.macys.com/is/image/MCY/8330263 ")</f>
        <v xml:space="preserve">http://slimages.macys.com/is/image/MCY/8330263 </v>
      </c>
    </row>
    <row r="16" spans="1:18" ht="24.75" x14ac:dyDescent="0.25">
      <c r="A16" s="8" t="s">
        <v>376</v>
      </c>
      <c r="B16" s="2" t="s">
        <v>377</v>
      </c>
      <c r="C16" s="4">
        <v>1</v>
      </c>
      <c r="D16" s="6">
        <v>16.95</v>
      </c>
      <c r="E16" s="6">
        <v>16.95</v>
      </c>
      <c r="F16" s="9">
        <v>39.99</v>
      </c>
      <c r="G16" s="6">
        <v>39.99</v>
      </c>
      <c r="H16" s="4">
        <v>1000768200</v>
      </c>
      <c r="I16" s="2" t="s">
        <v>2017</v>
      </c>
      <c r="J16" s="10" t="s">
        <v>1847</v>
      </c>
      <c r="K16" s="6"/>
      <c r="L16" s="6"/>
      <c r="M16" s="2" t="s">
        <v>1970</v>
      </c>
      <c r="N16" s="2" t="s">
        <v>2396</v>
      </c>
      <c r="O16" s="2" t="s">
        <v>1010</v>
      </c>
      <c r="P16" s="2" t="s">
        <v>1988</v>
      </c>
      <c r="Q16" s="2"/>
      <c r="R16" s="11" t="str">
        <f>HYPERLINK("http://slimages.macys.com/is/image/MCY/9263413 ")</f>
        <v xml:space="preserve">http://slimages.macys.com/is/image/MCY/9263413 </v>
      </c>
    </row>
    <row r="17" spans="1:18" ht="24.75" x14ac:dyDescent="0.25">
      <c r="A17" s="8" t="s">
        <v>378</v>
      </c>
      <c r="B17" s="2" t="s">
        <v>379</v>
      </c>
      <c r="C17" s="4">
        <v>1</v>
      </c>
      <c r="D17" s="6">
        <v>17.87</v>
      </c>
      <c r="E17" s="6">
        <v>17.87</v>
      </c>
      <c r="F17" s="9">
        <v>44.99</v>
      </c>
      <c r="G17" s="6">
        <v>44.99</v>
      </c>
      <c r="H17" s="4" t="s">
        <v>380</v>
      </c>
      <c r="I17" s="2" t="s">
        <v>2261</v>
      </c>
      <c r="J17" s="10"/>
      <c r="K17" s="6"/>
      <c r="L17" s="6"/>
      <c r="M17" s="2" t="s">
        <v>1970</v>
      </c>
      <c r="N17" s="2" t="s">
        <v>2012</v>
      </c>
      <c r="O17" s="2" t="s">
        <v>1987</v>
      </c>
      <c r="P17" s="2" t="s">
        <v>1988</v>
      </c>
      <c r="Q17" s="2"/>
      <c r="R17" s="11" t="str">
        <f>HYPERLINK("http://slimages.macys.com/is/image/MCY/9310362 ")</f>
        <v xml:space="preserve">http://slimages.macys.com/is/image/MCY/9310362 </v>
      </c>
    </row>
    <row r="18" spans="1:18" ht="24.75" x14ac:dyDescent="0.25">
      <c r="A18" s="8" t="s">
        <v>381</v>
      </c>
      <c r="B18" s="2" t="s">
        <v>382</v>
      </c>
      <c r="C18" s="4">
        <v>3</v>
      </c>
      <c r="D18" s="6">
        <v>20.57</v>
      </c>
      <c r="E18" s="6">
        <v>61.71</v>
      </c>
      <c r="F18" s="9">
        <v>39.99</v>
      </c>
      <c r="G18" s="6">
        <v>119.97</v>
      </c>
      <c r="H18" s="4" t="s">
        <v>383</v>
      </c>
      <c r="I18" s="2" t="s">
        <v>2106</v>
      </c>
      <c r="J18" s="10" t="s">
        <v>2552</v>
      </c>
      <c r="K18" s="6"/>
      <c r="L18" s="6"/>
      <c r="M18" s="2" t="s">
        <v>1970</v>
      </c>
      <c r="N18" s="2" t="s">
        <v>991</v>
      </c>
      <c r="O18" s="2" t="s">
        <v>360</v>
      </c>
      <c r="P18" s="2" t="s">
        <v>2039</v>
      </c>
      <c r="Q18" s="2" t="s">
        <v>361</v>
      </c>
      <c r="R18" s="11" t="str">
        <f>HYPERLINK("http://slimages.macys.com/is/image/MCY/1249344 ")</f>
        <v xml:space="preserve">http://slimages.macys.com/is/image/MCY/1249344 </v>
      </c>
    </row>
    <row r="19" spans="1:18" ht="24.75" x14ac:dyDescent="0.25">
      <c r="A19" s="8" t="s">
        <v>384</v>
      </c>
      <c r="B19" s="2" t="s">
        <v>385</v>
      </c>
      <c r="C19" s="4">
        <v>1</v>
      </c>
      <c r="D19" s="6">
        <v>16.079999999999998</v>
      </c>
      <c r="E19" s="6">
        <v>16.079999999999998</v>
      </c>
      <c r="F19" s="9">
        <v>49.99</v>
      </c>
      <c r="G19" s="6">
        <v>49.99</v>
      </c>
      <c r="H19" s="4" t="s">
        <v>1851</v>
      </c>
      <c r="I19" s="2" t="s">
        <v>2358</v>
      </c>
      <c r="J19" s="10"/>
      <c r="K19" s="6"/>
      <c r="L19" s="6"/>
      <c r="M19" s="2" t="s">
        <v>1970</v>
      </c>
      <c r="N19" s="2" t="s">
        <v>2032</v>
      </c>
      <c r="O19" s="2" t="s">
        <v>2898</v>
      </c>
      <c r="P19" s="2" t="s">
        <v>1988</v>
      </c>
      <c r="Q19" s="2" t="s">
        <v>1995</v>
      </c>
      <c r="R19" s="11" t="str">
        <f>HYPERLINK("http://slimages.macys.com/is/image/MCY/9965724 ")</f>
        <v xml:space="preserve">http://slimages.macys.com/is/image/MCY/9965724 </v>
      </c>
    </row>
    <row r="20" spans="1:18" ht="24.75" x14ac:dyDescent="0.25">
      <c r="A20" s="8" t="s">
        <v>386</v>
      </c>
      <c r="B20" s="2" t="s">
        <v>387</v>
      </c>
      <c r="C20" s="4">
        <v>1</v>
      </c>
      <c r="D20" s="6">
        <v>15.04</v>
      </c>
      <c r="E20" s="6">
        <v>15.04</v>
      </c>
      <c r="F20" s="9">
        <v>39.99</v>
      </c>
      <c r="G20" s="6">
        <v>39.99</v>
      </c>
      <c r="H20" s="4">
        <v>3028</v>
      </c>
      <c r="I20" s="2"/>
      <c r="J20" s="10"/>
      <c r="K20" s="6"/>
      <c r="L20" s="6"/>
      <c r="M20" s="2" t="s">
        <v>1970</v>
      </c>
      <c r="N20" s="2" t="s">
        <v>2184</v>
      </c>
      <c r="O20" s="2" t="s">
        <v>374</v>
      </c>
      <c r="P20" s="2" t="s">
        <v>1988</v>
      </c>
      <c r="Q20" s="2"/>
      <c r="R20" s="11" t="str">
        <f>HYPERLINK("http://slimages.macys.com/is/image/MCY/9288847 ")</f>
        <v xml:space="preserve">http://slimages.macys.com/is/image/MCY/9288847 </v>
      </c>
    </row>
    <row r="21" spans="1:18" ht="24.75" x14ac:dyDescent="0.25">
      <c r="A21" s="8" t="s">
        <v>254</v>
      </c>
      <c r="B21" s="2" t="s">
        <v>388</v>
      </c>
      <c r="C21" s="4">
        <v>1</v>
      </c>
      <c r="D21" s="6">
        <v>14.55</v>
      </c>
      <c r="E21" s="6">
        <v>14.55</v>
      </c>
      <c r="F21" s="9">
        <v>39.99</v>
      </c>
      <c r="G21" s="6">
        <v>39.99</v>
      </c>
      <c r="H21" s="4" t="s">
        <v>256</v>
      </c>
      <c r="I21" s="2" t="s">
        <v>2358</v>
      </c>
      <c r="J21" s="10"/>
      <c r="K21" s="6"/>
      <c r="L21" s="6"/>
      <c r="M21" s="2" t="s">
        <v>1970</v>
      </c>
      <c r="N21" s="2" t="s">
        <v>2184</v>
      </c>
      <c r="O21" s="2" t="s">
        <v>1987</v>
      </c>
      <c r="P21" s="2" t="s">
        <v>1988</v>
      </c>
      <c r="Q21" s="2" t="s">
        <v>257</v>
      </c>
      <c r="R21" s="11" t="str">
        <f>HYPERLINK("http://slimages.macys.com/is/image/MCY/10044363 ")</f>
        <v xml:space="preserve">http://slimages.macys.com/is/image/MCY/10044363 </v>
      </c>
    </row>
    <row r="22" spans="1:18" ht="24.75" x14ac:dyDescent="0.25">
      <c r="A22" s="8" t="s">
        <v>389</v>
      </c>
      <c r="B22" s="2" t="s">
        <v>390</v>
      </c>
      <c r="C22" s="4">
        <v>1</v>
      </c>
      <c r="D22" s="6">
        <v>14.21</v>
      </c>
      <c r="E22" s="6">
        <v>14.21</v>
      </c>
      <c r="F22" s="9">
        <v>36.99</v>
      </c>
      <c r="G22" s="6">
        <v>36.99</v>
      </c>
      <c r="H22" s="4" t="s">
        <v>391</v>
      </c>
      <c r="I22" s="2" t="s">
        <v>2026</v>
      </c>
      <c r="J22" s="10"/>
      <c r="K22" s="6"/>
      <c r="L22" s="6"/>
      <c r="M22" s="2" t="s">
        <v>1970</v>
      </c>
      <c r="N22" s="2" t="s">
        <v>2184</v>
      </c>
      <c r="O22" s="2" t="s">
        <v>2044</v>
      </c>
      <c r="P22" s="2" t="s">
        <v>1988</v>
      </c>
      <c r="Q22" s="2" t="s">
        <v>2770</v>
      </c>
      <c r="R22" s="11" t="str">
        <f>HYPERLINK("http://slimages.macys.com/is/image/MCY/13765181 ")</f>
        <v xml:space="preserve">http://slimages.macys.com/is/image/MCY/13765181 </v>
      </c>
    </row>
    <row r="23" spans="1:18" ht="24.75" x14ac:dyDescent="0.25">
      <c r="A23" s="8" t="s">
        <v>392</v>
      </c>
      <c r="B23" s="2" t="s">
        <v>393</v>
      </c>
      <c r="C23" s="4">
        <v>1</v>
      </c>
      <c r="D23" s="6">
        <v>15</v>
      </c>
      <c r="E23" s="6">
        <v>15</v>
      </c>
      <c r="F23" s="9">
        <v>43.99</v>
      </c>
      <c r="G23" s="6">
        <v>43.99</v>
      </c>
      <c r="H23" s="4" t="s">
        <v>393</v>
      </c>
      <c r="I23" s="2" t="s">
        <v>2017</v>
      </c>
      <c r="J23" s="10"/>
      <c r="K23" s="6"/>
      <c r="L23" s="6"/>
      <c r="M23" s="2" t="s">
        <v>1970</v>
      </c>
      <c r="N23" s="2" t="s">
        <v>2012</v>
      </c>
      <c r="O23" s="2" t="s">
        <v>394</v>
      </c>
      <c r="P23" s="2" t="s">
        <v>1988</v>
      </c>
      <c r="Q23" s="2" t="s">
        <v>2063</v>
      </c>
      <c r="R23" s="11" t="str">
        <f>HYPERLINK("http://slimages.macys.com/is/image/MCY/11574418 ")</f>
        <v xml:space="preserve">http://slimages.macys.com/is/image/MCY/11574418 </v>
      </c>
    </row>
    <row r="24" spans="1:18" ht="24.75" x14ac:dyDescent="0.25">
      <c r="A24" s="8" t="s">
        <v>395</v>
      </c>
      <c r="B24" s="2" t="s">
        <v>396</v>
      </c>
      <c r="C24" s="4">
        <v>1</v>
      </c>
      <c r="D24" s="6">
        <v>17.11</v>
      </c>
      <c r="E24" s="6">
        <v>17.11</v>
      </c>
      <c r="F24" s="9">
        <v>39.99</v>
      </c>
      <c r="G24" s="6">
        <v>39.99</v>
      </c>
      <c r="H24" s="4" t="s">
        <v>397</v>
      </c>
      <c r="I24" s="2" t="s">
        <v>2294</v>
      </c>
      <c r="J24" s="10" t="s">
        <v>2425</v>
      </c>
      <c r="K24" s="6"/>
      <c r="L24" s="6"/>
      <c r="M24" s="2" t="s">
        <v>1970</v>
      </c>
      <c r="N24" s="2" t="s">
        <v>2626</v>
      </c>
      <c r="O24" s="2" t="s">
        <v>1053</v>
      </c>
      <c r="P24" s="2" t="s">
        <v>1988</v>
      </c>
      <c r="Q24" s="2" t="s">
        <v>1112</v>
      </c>
      <c r="R24" s="11" t="str">
        <f>HYPERLINK("http://slimages.macys.com/is/image/MCY/3958930 ")</f>
        <v xml:space="preserve">http://slimages.macys.com/is/image/MCY/3958930 </v>
      </c>
    </row>
    <row r="25" spans="1:18" ht="24.75" x14ac:dyDescent="0.25">
      <c r="A25" s="8" t="s">
        <v>398</v>
      </c>
      <c r="B25" s="2" t="s">
        <v>399</v>
      </c>
      <c r="C25" s="4">
        <v>1</v>
      </c>
      <c r="D25" s="6">
        <v>14.5</v>
      </c>
      <c r="E25" s="6">
        <v>14.5</v>
      </c>
      <c r="F25" s="9">
        <v>29.99</v>
      </c>
      <c r="G25" s="6">
        <v>29.99</v>
      </c>
      <c r="H25" s="4" t="s">
        <v>400</v>
      </c>
      <c r="I25" s="2" t="s">
        <v>2200</v>
      </c>
      <c r="J25" s="10"/>
      <c r="K25" s="6"/>
      <c r="L25" s="6"/>
      <c r="M25" s="2" t="s">
        <v>1970</v>
      </c>
      <c r="N25" s="2" t="s">
        <v>2012</v>
      </c>
      <c r="O25" s="2" t="s">
        <v>2448</v>
      </c>
      <c r="P25" s="2" t="s">
        <v>1988</v>
      </c>
      <c r="Q25" s="2"/>
      <c r="R25" s="11" t="str">
        <f>HYPERLINK("http://slimages.macys.com/is/image/MCY/13384485 ")</f>
        <v xml:space="preserve">http://slimages.macys.com/is/image/MCY/13384485 </v>
      </c>
    </row>
    <row r="26" spans="1:18" ht="24.75" x14ac:dyDescent="0.25">
      <c r="A26" s="8" t="s">
        <v>401</v>
      </c>
      <c r="B26" s="2" t="s">
        <v>402</v>
      </c>
      <c r="C26" s="4">
        <v>3</v>
      </c>
      <c r="D26" s="6">
        <v>14.5</v>
      </c>
      <c r="E26" s="6">
        <v>43.5</v>
      </c>
      <c r="F26" s="9">
        <v>29.99</v>
      </c>
      <c r="G26" s="6">
        <v>89.97</v>
      </c>
      <c r="H26" s="4" t="s">
        <v>403</v>
      </c>
      <c r="I26" s="2" t="s">
        <v>2017</v>
      </c>
      <c r="J26" s="10"/>
      <c r="K26" s="6"/>
      <c r="L26" s="6"/>
      <c r="M26" s="2" t="s">
        <v>1970</v>
      </c>
      <c r="N26" s="2" t="s">
        <v>2012</v>
      </c>
      <c r="O26" s="2" t="s">
        <v>2448</v>
      </c>
      <c r="P26" s="2" t="s">
        <v>1988</v>
      </c>
      <c r="Q26" s="2"/>
      <c r="R26" s="11" t="str">
        <f>HYPERLINK("http://slimages.macys.com/is/image/MCY/13384487 ")</f>
        <v xml:space="preserve">http://slimages.macys.com/is/image/MCY/13384487 </v>
      </c>
    </row>
    <row r="27" spans="1:18" ht="24.75" x14ac:dyDescent="0.25">
      <c r="A27" s="8" t="s">
        <v>404</v>
      </c>
      <c r="B27" s="2" t="s">
        <v>405</v>
      </c>
      <c r="C27" s="4">
        <v>1</v>
      </c>
      <c r="D27" s="6">
        <v>14</v>
      </c>
      <c r="E27" s="6">
        <v>14</v>
      </c>
      <c r="F27" s="9">
        <v>29.99</v>
      </c>
      <c r="G27" s="6">
        <v>29.99</v>
      </c>
      <c r="H27" s="4" t="s">
        <v>406</v>
      </c>
      <c r="I27" s="2" t="s">
        <v>1993</v>
      </c>
      <c r="J27" s="10"/>
      <c r="K27" s="6"/>
      <c r="L27" s="6"/>
      <c r="M27" s="2" t="s">
        <v>1970</v>
      </c>
      <c r="N27" s="2" t="s">
        <v>2012</v>
      </c>
      <c r="O27" s="2" t="s">
        <v>2448</v>
      </c>
      <c r="P27" s="2" t="s">
        <v>1988</v>
      </c>
      <c r="Q27" s="2"/>
      <c r="R27" s="11" t="str">
        <f>HYPERLINK("http://slimages.macys.com/is/image/MCY/13839179 ")</f>
        <v xml:space="preserve">http://slimages.macys.com/is/image/MCY/13839179 </v>
      </c>
    </row>
    <row r="28" spans="1:18" ht="24.75" x14ac:dyDescent="0.25">
      <c r="A28" s="8" t="s">
        <v>407</v>
      </c>
      <c r="B28" s="2" t="s">
        <v>408</v>
      </c>
      <c r="C28" s="4">
        <v>1</v>
      </c>
      <c r="D28" s="6">
        <v>12.95</v>
      </c>
      <c r="E28" s="6">
        <v>12.95</v>
      </c>
      <c r="F28" s="9">
        <v>29.99</v>
      </c>
      <c r="G28" s="6">
        <v>29.99</v>
      </c>
      <c r="H28" s="4" t="s">
        <v>409</v>
      </c>
      <c r="I28" s="2" t="s">
        <v>2252</v>
      </c>
      <c r="J28" s="10" t="s">
        <v>2107</v>
      </c>
      <c r="K28" s="6"/>
      <c r="L28" s="6"/>
      <c r="M28" s="2" t="s">
        <v>1970</v>
      </c>
      <c r="N28" s="2" t="s">
        <v>2012</v>
      </c>
      <c r="O28" s="2" t="s">
        <v>2062</v>
      </c>
      <c r="P28" s="2" t="s">
        <v>1988</v>
      </c>
      <c r="Q28" s="2" t="s">
        <v>2310</v>
      </c>
      <c r="R28" s="11" t="str">
        <f>HYPERLINK("http://slimages.macys.com/is/image/MCY/9456418 ")</f>
        <v xml:space="preserve">http://slimages.macys.com/is/image/MCY/9456418 </v>
      </c>
    </row>
    <row r="29" spans="1:18" ht="24.75" x14ac:dyDescent="0.25">
      <c r="A29" s="8" t="s">
        <v>410</v>
      </c>
      <c r="B29" s="2" t="s">
        <v>411</v>
      </c>
      <c r="C29" s="4">
        <v>1</v>
      </c>
      <c r="D29" s="6">
        <v>11.95</v>
      </c>
      <c r="E29" s="6">
        <v>11.95</v>
      </c>
      <c r="F29" s="9">
        <v>29.99</v>
      </c>
      <c r="G29" s="6">
        <v>29.99</v>
      </c>
      <c r="H29" s="4" t="s">
        <v>412</v>
      </c>
      <c r="I29" s="2"/>
      <c r="J29" s="10"/>
      <c r="K29" s="6"/>
      <c r="L29" s="6"/>
      <c r="M29" s="2" t="s">
        <v>1970</v>
      </c>
      <c r="N29" s="2" t="s">
        <v>2184</v>
      </c>
      <c r="O29" s="2" t="s">
        <v>374</v>
      </c>
      <c r="P29" s="2" t="s">
        <v>1988</v>
      </c>
      <c r="Q29" s="2"/>
      <c r="R29" s="11" t="str">
        <f>HYPERLINK("http://slimages.macys.com/is/image/MCY/8308900 ")</f>
        <v xml:space="preserve">http://slimages.macys.com/is/image/MCY/8308900 </v>
      </c>
    </row>
    <row r="30" spans="1:18" ht="48.75" x14ac:dyDescent="0.25">
      <c r="A30" s="8" t="s">
        <v>413</v>
      </c>
      <c r="B30" s="2" t="s">
        <v>414</v>
      </c>
      <c r="C30" s="4">
        <v>1</v>
      </c>
      <c r="D30" s="6">
        <v>11.66</v>
      </c>
      <c r="E30" s="6">
        <v>11.66</v>
      </c>
      <c r="F30" s="9">
        <v>24.99</v>
      </c>
      <c r="G30" s="6">
        <v>24.99</v>
      </c>
      <c r="H30" s="4" t="s">
        <v>415</v>
      </c>
      <c r="I30" s="2" t="s">
        <v>2294</v>
      </c>
      <c r="J30" s="10"/>
      <c r="K30" s="6"/>
      <c r="L30" s="6"/>
      <c r="M30" s="2" t="s">
        <v>1970</v>
      </c>
      <c r="N30" s="2" t="s">
        <v>2184</v>
      </c>
      <c r="O30" s="2" t="s">
        <v>1375</v>
      </c>
      <c r="P30" s="2" t="s">
        <v>1988</v>
      </c>
      <c r="Q30" s="2" t="s">
        <v>416</v>
      </c>
      <c r="R30" s="11" t="str">
        <f>HYPERLINK("http://slimages.macys.com/is/image/MCY/11338249 ")</f>
        <v xml:space="preserve">http://slimages.macys.com/is/image/MCY/11338249 </v>
      </c>
    </row>
    <row r="31" spans="1:18" ht="24.75" x14ac:dyDescent="0.25">
      <c r="A31" s="8" t="s">
        <v>417</v>
      </c>
      <c r="B31" s="2" t="s">
        <v>418</v>
      </c>
      <c r="C31" s="4">
        <v>4</v>
      </c>
      <c r="D31" s="6">
        <v>14.34</v>
      </c>
      <c r="E31" s="6">
        <v>57.36</v>
      </c>
      <c r="F31" s="9">
        <v>39.99</v>
      </c>
      <c r="G31" s="6">
        <v>159.96</v>
      </c>
      <c r="H31" s="4" t="s">
        <v>419</v>
      </c>
      <c r="I31" s="2" t="s">
        <v>2106</v>
      </c>
      <c r="J31" s="10" t="s">
        <v>2564</v>
      </c>
      <c r="K31" s="6"/>
      <c r="L31" s="6"/>
      <c r="M31" s="2" t="s">
        <v>1970</v>
      </c>
      <c r="N31" s="2" t="s">
        <v>991</v>
      </c>
      <c r="O31" s="2" t="s">
        <v>360</v>
      </c>
      <c r="P31" s="2" t="s">
        <v>2039</v>
      </c>
      <c r="Q31" s="2" t="s">
        <v>361</v>
      </c>
      <c r="R31" s="11" t="str">
        <f>HYPERLINK("http://slimages.macys.com/is/image/MCY/1249344 ")</f>
        <v xml:space="preserve">http://slimages.macys.com/is/image/MCY/1249344 </v>
      </c>
    </row>
    <row r="32" spans="1:18" ht="24.75" x14ac:dyDescent="0.25">
      <c r="A32" s="8" t="s">
        <v>420</v>
      </c>
      <c r="B32" s="2" t="s">
        <v>421</v>
      </c>
      <c r="C32" s="4">
        <v>1</v>
      </c>
      <c r="D32" s="6">
        <v>12.04</v>
      </c>
      <c r="E32" s="6">
        <v>12.04</v>
      </c>
      <c r="F32" s="9">
        <v>28.99</v>
      </c>
      <c r="G32" s="6">
        <v>28.99</v>
      </c>
      <c r="H32" s="4" t="s">
        <v>422</v>
      </c>
      <c r="I32" s="2" t="s">
        <v>2071</v>
      </c>
      <c r="J32" s="10"/>
      <c r="K32" s="6"/>
      <c r="L32" s="6"/>
      <c r="M32" s="2" t="s">
        <v>1970</v>
      </c>
      <c r="N32" s="2" t="s">
        <v>2012</v>
      </c>
      <c r="O32" s="2" t="s">
        <v>2088</v>
      </c>
      <c r="P32" s="2" t="s">
        <v>1988</v>
      </c>
      <c r="Q32" s="2" t="s">
        <v>1995</v>
      </c>
      <c r="R32" s="11" t="str">
        <f>HYPERLINK("http://slimages.macys.com/is/image/MCY/3675382 ")</f>
        <v xml:space="preserve">http://slimages.macys.com/is/image/MCY/3675382 </v>
      </c>
    </row>
    <row r="33" spans="1:18" ht="36.75" x14ac:dyDescent="0.25">
      <c r="A33" s="8" t="s">
        <v>423</v>
      </c>
      <c r="B33" s="2" t="s">
        <v>424</v>
      </c>
      <c r="C33" s="4">
        <v>2</v>
      </c>
      <c r="D33" s="6">
        <v>11.3</v>
      </c>
      <c r="E33" s="6">
        <v>22.6</v>
      </c>
      <c r="F33" s="9">
        <v>25.99</v>
      </c>
      <c r="G33" s="6">
        <v>51.98</v>
      </c>
      <c r="H33" s="4">
        <v>1002825100</v>
      </c>
      <c r="I33" s="2" t="s">
        <v>2200</v>
      </c>
      <c r="J33" s="10"/>
      <c r="K33" s="6"/>
      <c r="L33" s="6"/>
      <c r="M33" s="2" t="s">
        <v>1970</v>
      </c>
      <c r="N33" s="2" t="s">
        <v>2396</v>
      </c>
      <c r="O33" s="2" t="s">
        <v>1693</v>
      </c>
      <c r="P33" s="2" t="s">
        <v>1988</v>
      </c>
      <c r="Q33" s="2" t="s">
        <v>425</v>
      </c>
      <c r="R33" s="11" t="str">
        <f>HYPERLINK("http://slimages.macys.com/is/image/MCY/10029627 ")</f>
        <v xml:space="preserve">http://slimages.macys.com/is/image/MCY/10029627 </v>
      </c>
    </row>
    <row r="34" spans="1:18" ht="24.75" x14ac:dyDescent="0.25">
      <c r="A34" s="8" t="s">
        <v>426</v>
      </c>
      <c r="B34" s="2" t="s">
        <v>427</v>
      </c>
      <c r="C34" s="4">
        <v>1</v>
      </c>
      <c r="D34" s="6">
        <v>11.3</v>
      </c>
      <c r="E34" s="6">
        <v>11.3</v>
      </c>
      <c r="F34" s="9">
        <v>25.99</v>
      </c>
      <c r="G34" s="6">
        <v>25.99</v>
      </c>
      <c r="H34" s="4" t="s">
        <v>428</v>
      </c>
      <c r="I34" s="2" t="s">
        <v>2571</v>
      </c>
      <c r="J34" s="10"/>
      <c r="K34" s="6"/>
      <c r="L34" s="6"/>
      <c r="M34" s="2" t="s">
        <v>1970</v>
      </c>
      <c r="N34" s="2" t="s">
        <v>2396</v>
      </c>
      <c r="O34" s="2" t="s">
        <v>1579</v>
      </c>
      <c r="P34" s="2" t="s">
        <v>2039</v>
      </c>
      <c r="Q34" s="2" t="s">
        <v>429</v>
      </c>
      <c r="R34" s="11" t="str">
        <f>HYPERLINK("http://slimages.macys.com/is/image/MCY/9898874 ")</f>
        <v xml:space="preserve">http://slimages.macys.com/is/image/MCY/9898874 </v>
      </c>
    </row>
    <row r="35" spans="1:18" ht="36.75" x14ac:dyDescent="0.25">
      <c r="A35" s="8" t="s">
        <v>430</v>
      </c>
      <c r="B35" s="2" t="s">
        <v>431</v>
      </c>
      <c r="C35" s="4">
        <v>1</v>
      </c>
      <c r="D35" s="6">
        <v>11.3</v>
      </c>
      <c r="E35" s="6">
        <v>11.3</v>
      </c>
      <c r="F35" s="9">
        <v>25.99</v>
      </c>
      <c r="G35" s="6">
        <v>25.99</v>
      </c>
      <c r="H35" s="4" t="s">
        <v>432</v>
      </c>
      <c r="I35" s="2" t="s">
        <v>2358</v>
      </c>
      <c r="J35" s="10"/>
      <c r="K35" s="6"/>
      <c r="L35" s="6"/>
      <c r="M35" s="2" t="s">
        <v>1970</v>
      </c>
      <c r="N35" s="2" t="s">
        <v>2396</v>
      </c>
      <c r="O35" s="2" t="s">
        <v>1693</v>
      </c>
      <c r="P35" s="2" t="s">
        <v>1988</v>
      </c>
      <c r="Q35" s="2" t="s">
        <v>433</v>
      </c>
      <c r="R35" s="11" t="str">
        <f>HYPERLINK("http://slimages.macys.com/is/image/MCY/10259958 ")</f>
        <v xml:space="preserve">http://slimages.macys.com/is/image/MCY/10259958 </v>
      </c>
    </row>
    <row r="36" spans="1:18" ht="36.75" x14ac:dyDescent="0.25">
      <c r="A36" s="8" t="s">
        <v>434</v>
      </c>
      <c r="B36" s="2" t="s">
        <v>431</v>
      </c>
      <c r="C36" s="4">
        <v>1</v>
      </c>
      <c r="D36" s="6">
        <v>11.3</v>
      </c>
      <c r="E36" s="6">
        <v>11.3</v>
      </c>
      <c r="F36" s="9">
        <v>25.99</v>
      </c>
      <c r="G36" s="6">
        <v>25.99</v>
      </c>
      <c r="H36" s="4" t="s">
        <v>432</v>
      </c>
      <c r="I36" s="2" t="s">
        <v>2200</v>
      </c>
      <c r="J36" s="10"/>
      <c r="K36" s="6"/>
      <c r="L36" s="6"/>
      <c r="M36" s="2" t="s">
        <v>1970</v>
      </c>
      <c r="N36" s="2" t="s">
        <v>2396</v>
      </c>
      <c r="O36" s="2" t="s">
        <v>1693</v>
      </c>
      <c r="P36" s="2" t="s">
        <v>1988</v>
      </c>
      <c r="Q36" s="2" t="s">
        <v>433</v>
      </c>
      <c r="R36" s="11" t="str">
        <f>HYPERLINK("http://slimages.macys.com/is/image/MCY/9052080 ")</f>
        <v xml:space="preserve">http://slimages.macys.com/is/image/MCY/9052080 </v>
      </c>
    </row>
    <row r="37" spans="1:18" ht="24.75" x14ac:dyDescent="0.25">
      <c r="A37" s="8" t="s">
        <v>435</v>
      </c>
      <c r="B37" s="2" t="s">
        <v>436</v>
      </c>
      <c r="C37" s="4">
        <v>1</v>
      </c>
      <c r="D37" s="6">
        <v>11.3</v>
      </c>
      <c r="E37" s="6">
        <v>11.3</v>
      </c>
      <c r="F37" s="9">
        <v>25.99</v>
      </c>
      <c r="G37" s="6">
        <v>25.99</v>
      </c>
      <c r="H37" s="4" t="s">
        <v>437</v>
      </c>
      <c r="I37" s="2" t="s">
        <v>954</v>
      </c>
      <c r="J37" s="10"/>
      <c r="K37" s="6"/>
      <c r="L37" s="6"/>
      <c r="M37" s="2" t="s">
        <v>1970</v>
      </c>
      <c r="N37" s="2" t="s">
        <v>2396</v>
      </c>
      <c r="O37" s="2" t="s">
        <v>1579</v>
      </c>
      <c r="P37" s="2" t="s">
        <v>2039</v>
      </c>
      <c r="Q37" s="2" t="s">
        <v>429</v>
      </c>
      <c r="R37" s="11" t="str">
        <f>HYPERLINK("http://slimages.macys.com/is/image/MCY/9898874 ")</f>
        <v xml:space="preserve">http://slimages.macys.com/is/image/MCY/9898874 </v>
      </c>
    </row>
    <row r="38" spans="1:18" ht="72.75" x14ac:dyDescent="0.25">
      <c r="A38" s="8" t="s">
        <v>438</v>
      </c>
      <c r="B38" s="2" t="s">
        <v>439</v>
      </c>
      <c r="C38" s="4">
        <v>1</v>
      </c>
      <c r="D38" s="6">
        <v>11.19</v>
      </c>
      <c r="E38" s="6">
        <v>11.19</v>
      </c>
      <c r="F38" s="9">
        <v>24.99</v>
      </c>
      <c r="G38" s="6">
        <v>24.99</v>
      </c>
      <c r="H38" s="4" t="s">
        <v>440</v>
      </c>
      <c r="I38" s="2" t="s">
        <v>2011</v>
      </c>
      <c r="J38" s="10"/>
      <c r="K38" s="6"/>
      <c r="L38" s="6"/>
      <c r="M38" s="2" t="s">
        <v>1970</v>
      </c>
      <c r="N38" s="2" t="s">
        <v>2184</v>
      </c>
      <c r="O38" s="2" t="s">
        <v>1987</v>
      </c>
      <c r="P38" s="2" t="s">
        <v>2933</v>
      </c>
      <c r="Q38" s="2" t="s">
        <v>441</v>
      </c>
      <c r="R38" s="11" t="str">
        <f>HYPERLINK("http://slimages.macys.com/is/image/MCY/10243933 ")</f>
        <v xml:space="preserve">http://slimages.macys.com/is/image/MCY/10243933 </v>
      </c>
    </row>
    <row r="39" spans="1:18" ht="36.75" x14ac:dyDescent="0.25">
      <c r="A39" s="8" t="s">
        <v>442</v>
      </c>
      <c r="B39" s="2" t="s">
        <v>443</v>
      </c>
      <c r="C39" s="4">
        <v>1</v>
      </c>
      <c r="D39" s="6">
        <v>11</v>
      </c>
      <c r="E39" s="6">
        <v>11</v>
      </c>
      <c r="F39" s="9">
        <v>29.99</v>
      </c>
      <c r="G39" s="6">
        <v>29.99</v>
      </c>
      <c r="H39" s="4">
        <v>1005237400</v>
      </c>
      <c r="I39" s="2" t="s">
        <v>2358</v>
      </c>
      <c r="J39" s="10"/>
      <c r="K39" s="6"/>
      <c r="L39" s="6"/>
      <c r="M39" s="2" t="s">
        <v>1970</v>
      </c>
      <c r="N39" s="2" t="s">
        <v>2396</v>
      </c>
      <c r="O39" s="2" t="s">
        <v>1579</v>
      </c>
      <c r="P39" s="2" t="s">
        <v>2039</v>
      </c>
      <c r="Q39" s="2" t="s">
        <v>444</v>
      </c>
      <c r="R39" s="11" t="str">
        <f>HYPERLINK("http://slimages.macys.com/is/image/MCY/10625656 ")</f>
        <v xml:space="preserve">http://slimages.macys.com/is/image/MCY/10625656 </v>
      </c>
    </row>
    <row r="40" spans="1:18" ht="24.75" x14ac:dyDescent="0.25">
      <c r="A40" s="8" t="s">
        <v>445</v>
      </c>
      <c r="B40" s="2" t="s">
        <v>446</v>
      </c>
      <c r="C40" s="4">
        <v>1</v>
      </c>
      <c r="D40" s="6">
        <v>10.95</v>
      </c>
      <c r="E40" s="6">
        <v>10.95</v>
      </c>
      <c r="F40" s="9">
        <v>29.99</v>
      </c>
      <c r="G40" s="6">
        <v>29.99</v>
      </c>
      <c r="H40" s="4">
        <v>1001810800</v>
      </c>
      <c r="I40" s="2" t="s">
        <v>2077</v>
      </c>
      <c r="J40" s="10"/>
      <c r="K40" s="6"/>
      <c r="L40" s="6"/>
      <c r="M40" s="2" t="s">
        <v>1970</v>
      </c>
      <c r="N40" s="2" t="s">
        <v>2396</v>
      </c>
      <c r="O40" s="2" t="s">
        <v>1579</v>
      </c>
      <c r="P40" s="2" t="s">
        <v>2039</v>
      </c>
      <c r="Q40" s="2" t="s">
        <v>1995</v>
      </c>
      <c r="R40" s="11" t="str">
        <f>HYPERLINK("http://slimages.macys.com/is/image/MCY/9257533 ")</f>
        <v xml:space="preserve">http://slimages.macys.com/is/image/MCY/9257533 </v>
      </c>
    </row>
    <row r="41" spans="1:18" ht="24.75" x14ac:dyDescent="0.25">
      <c r="A41" s="8" t="s">
        <v>447</v>
      </c>
      <c r="B41" s="2" t="s">
        <v>448</v>
      </c>
      <c r="C41" s="4">
        <v>1</v>
      </c>
      <c r="D41" s="6">
        <v>10.95</v>
      </c>
      <c r="E41" s="6">
        <v>10.95</v>
      </c>
      <c r="F41" s="9">
        <v>29.99</v>
      </c>
      <c r="G41" s="6">
        <v>29.99</v>
      </c>
      <c r="H41" s="4">
        <v>1001810800</v>
      </c>
      <c r="I41" s="2" t="s">
        <v>2021</v>
      </c>
      <c r="J41" s="10"/>
      <c r="K41" s="6"/>
      <c r="L41" s="6"/>
      <c r="M41" s="2" t="s">
        <v>1970</v>
      </c>
      <c r="N41" s="2" t="s">
        <v>2396</v>
      </c>
      <c r="O41" s="2" t="s">
        <v>1579</v>
      </c>
      <c r="P41" s="2" t="s">
        <v>2039</v>
      </c>
      <c r="Q41" s="2" t="s">
        <v>1995</v>
      </c>
      <c r="R41" s="11" t="str">
        <f>HYPERLINK("http://slimages.macys.com/is/image/MCY/9257533 ")</f>
        <v xml:space="preserve">http://slimages.macys.com/is/image/MCY/9257533 </v>
      </c>
    </row>
    <row r="42" spans="1:18" ht="24.75" x14ac:dyDescent="0.25">
      <c r="A42" s="8" t="s">
        <v>449</v>
      </c>
      <c r="B42" s="2" t="s">
        <v>450</v>
      </c>
      <c r="C42" s="4">
        <v>1</v>
      </c>
      <c r="D42" s="6">
        <v>10.81</v>
      </c>
      <c r="E42" s="6">
        <v>10.81</v>
      </c>
      <c r="F42" s="9">
        <v>14.99</v>
      </c>
      <c r="G42" s="6">
        <v>14.99</v>
      </c>
      <c r="H42" s="4" t="s">
        <v>451</v>
      </c>
      <c r="I42" s="2"/>
      <c r="J42" s="10" t="s">
        <v>1080</v>
      </c>
      <c r="K42" s="6"/>
      <c r="L42" s="6"/>
      <c r="M42" s="2" t="s">
        <v>1970</v>
      </c>
      <c r="N42" s="2" t="s">
        <v>2184</v>
      </c>
      <c r="O42" s="2" t="s">
        <v>1081</v>
      </c>
      <c r="P42" s="2" t="s">
        <v>2039</v>
      </c>
      <c r="Q42" s="2" t="s">
        <v>1082</v>
      </c>
      <c r="R42" s="11" t="str">
        <f>HYPERLINK("http://slimages.macys.com/is/image/MCY/15633945 ")</f>
        <v xml:space="preserve">http://slimages.macys.com/is/image/MCY/15633945 </v>
      </c>
    </row>
    <row r="43" spans="1:18" ht="60.75" x14ac:dyDescent="0.25">
      <c r="A43" s="8" t="s">
        <v>452</v>
      </c>
      <c r="B43" s="2" t="s">
        <v>453</v>
      </c>
      <c r="C43" s="4">
        <v>1</v>
      </c>
      <c r="D43" s="6">
        <v>10.75</v>
      </c>
      <c r="E43" s="6">
        <v>10.75</v>
      </c>
      <c r="F43" s="9">
        <v>24.99</v>
      </c>
      <c r="G43" s="6">
        <v>24.99</v>
      </c>
      <c r="H43" s="4" t="s">
        <v>454</v>
      </c>
      <c r="I43" s="2" t="s">
        <v>2663</v>
      </c>
      <c r="J43" s="10"/>
      <c r="K43" s="6"/>
      <c r="L43" s="6"/>
      <c r="M43" s="2" t="s">
        <v>1970</v>
      </c>
      <c r="N43" s="2" t="s">
        <v>2184</v>
      </c>
      <c r="O43" s="2" t="s">
        <v>1375</v>
      </c>
      <c r="P43" s="2" t="s">
        <v>1988</v>
      </c>
      <c r="Q43" s="2" t="s">
        <v>455</v>
      </c>
      <c r="R43" s="11" t="str">
        <f>HYPERLINK("http://slimages.macys.com/is/image/MCY/10673843 ")</f>
        <v xml:space="preserve">http://slimages.macys.com/is/image/MCY/10673843 </v>
      </c>
    </row>
    <row r="44" spans="1:18" ht="24.75" x14ac:dyDescent="0.25">
      <c r="A44" s="8" t="s">
        <v>456</v>
      </c>
      <c r="B44" s="2" t="s">
        <v>457</v>
      </c>
      <c r="C44" s="4">
        <v>2</v>
      </c>
      <c r="D44" s="6">
        <v>10.62</v>
      </c>
      <c r="E44" s="6">
        <v>21.24</v>
      </c>
      <c r="F44" s="9">
        <v>29.99</v>
      </c>
      <c r="G44" s="6">
        <v>59.98</v>
      </c>
      <c r="H44" s="4">
        <v>73529</v>
      </c>
      <c r="I44" s="2"/>
      <c r="J44" s="10"/>
      <c r="K44" s="6"/>
      <c r="L44" s="6"/>
      <c r="M44" s="2" t="s">
        <v>1970</v>
      </c>
      <c r="N44" s="2" t="s">
        <v>2184</v>
      </c>
      <c r="O44" s="2" t="s">
        <v>374</v>
      </c>
      <c r="P44" s="2" t="s">
        <v>1988</v>
      </c>
      <c r="Q44" s="2" t="s">
        <v>458</v>
      </c>
      <c r="R44" s="11" t="str">
        <f>HYPERLINK("http://slimages.macys.com/is/image/MCY/3085430 ")</f>
        <v xml:space="preserve">http://slimages.macys.com/is/image/MCY/3085430 </v>
      </c>
    </row>
    <row r="45" spans="1:18" ht="24.75" x14ac:dyDescent="0.25">
      <c r="A45" s="8" t="s">
        <v>459</v>
      </c>
      <c r="B45" s="2" t="s">
        <v>460</v>
      </c>
      <c r="C45" s="4">
        <v>1</v>
      </c>
      <c r="D45" s="6">
        <v>12.46</v>
      </c>
      <c r="E45" s="6">
        <v>12.46</v>
      </c>
      <c r="F45" s="9">
        <v>29.99</v>
      </c>
      <c r="G45" s="6">
        <v>29.99</v>
      </c>
      <c r="H45" s="4" t="s">
        <v>461</v>
      </c>
      <c r="I45" s="2" t="s">
        <v>1985</v>
      </c>
      <c r="J45" s="10"/>
      <c r="K45" s="6"/>
      <c r="L45" s="6"/>
      <c r="M45" s="2" t="s">
        <v>1970</v>
      </c>
      <c r="N45" s="2" t="s">
        <v>2032</v>
      </c>
      <c r="O45" s="2" t="s">
        <v>2300</v>
      </c>
      <c r="P45" s="2" t="s">
        <v>1988</v>
      </c>
      <c r="Q45" s="2" t="s">
        <v>2301</v>
      </c>
      <c r="R45" s="11" t="str">
        <f>HYPERLINK("http://slimages.macys.com/is/image/MCY/16059452 ")</f>
        <v xml:space="preserve">http://slimages.macys.com/is/image/MCY/16059452 </v>
      </c>
    </row>
    <row r="46" spans="1:18" ht="24.75" x14ac:dyDescent="0.25">
      <c r="A46" s="8" t="s">
        <v>1097</v>
      </c>
      <c r="B46" s="2" t="s">
        <v>1098</v>
      </c>
      <c r="C46" s="4">
        <v>2</v>
      </c>
      <c r="D46" s="6">
        <v>8.9499999999999993</v>
      </c>
      <c r="E46" s="6">
        <v>17.899999999999999</v>
      </c>
      <c r="F46" s="9">
        <v>9.99</v>
      </c>
      <c r="G46" s="6">
        <v>19.98</v>
      </c>
      <c r="H46" s="4" t="s">
        <v>1099</v>
      </c>
      <c r="I46" s="2"/>
      <c r="J46" s="10"/>
      <c r="K46" s="6"/>
      <c r="L46" s="6"/>
      <c r="M46" s="2" t="s">
        <v>1970</v>
      </c>
      <c r="N46" s="2" t="s">
        <v>2184</v>
      </c>
      <c r="O46" s="2" t="s">
        <v>1081</v>
      </c>
      <c r="P46" s="2" t="s">
        <v>2039</v>
      </c>
      <c r="Q46" s="2" t="s">
        <v>1082</v>
      </c>
      <c r="R46" s="11" t="str">
        <f>HYPERLINK("http://slimages.macys.com/is/image/MCY/15633945 ")</f>
        <v xml:space="preserve">http://slimages.macys.com/is/image/MCY/15633945 </v>
      </c>
    </row>
    <row r="47" spans="1:18" ht="24.75" x14ac:dyDescent="0.25">
      <c r="A47" s="8" t="s">
        <v>462</v>
      </c>
      <c r="B47" s="2" t="s">
        <v>463</v>
      </c>
      <c r="C47" s="4">
        <v>1</v>
      </c>
      <c r="D47" s="6">
        <v>8.9499999999999993</v>
      </c>
      <c r="E47" s="6">
        <v>8.9499999999999993</v>
      </c>
      <c r="F47" s="9">
        <v>9.99</v>
      </c>
      <c r="G47" s="6">
        <v>9.99</v>
      </c>
      <c r="H47" s="4" t="s">
        <v>464</v>
      </c>
      <c r="I47" s="2" t="s">
        <v>1993</v>
      </c>
      <c r="J47" s="10"/>
      <c r="K47" s="6"/>
      <c r="L47" s="6"/>
      <c r="M47" s="2" t="s">
        <v>1970</v>
      </c>
      <c r="N47" s="2" t="s">
        <v>2184</v>
      </c>
      <c r="O47" s="2" t="s">
        <v>1081</v>
      </c>
      <c r="P47" s="2" t="s">
        <v>2039</v>
      </c>
      <c r="Q47" s="2" t="s">
        <v>1082</v>
      </c>
      <c r="R47" s="11" t="str">
        <f>HYPERLINK("http://slimages.macys.com/is/image/MCY/15633945 ")</f>
        <v xml:space="preserve">http://slimages.macys.com/is/image/MCY/15633945 </v>
      </c>
    </row>
    <row r="48" spans="1:18" ht="24.75" x14ac:dyDescent="0.25">
      <c r="A48" s="8" t="s">
        <v>465</v>
      </c>
      <c r="B48" s="2" t="s">
        <v>466</v>
      </c>
      <c r="C48" s="4">
        <v>1</v>
      </c>
      <c r="D48" s="6">
        <v>8.9499999999999993</v>
      </c>
      <c r="E48" s="6">
        <v>8.9499999999999993</v>
      </c>
      <c r="F48" s="9">
        <v>9.99</v>
      </c>
      <c r="G48" s="6">
        <v>9.99</v>
      </c>
      <c r="H48" s="4" t="s">
        <v>467</v>
      </c>
      <c r="I48" s="2" t="s">
        <v>2811</v>
      </c>
      <c r="J48" s="10"/>
      <c r="K48" s="6"/>
      <c r="L48" s="6"/>
      <c r="M48" s="2" t="s">
        <v>1970</v>
      </c>
      <c r="N48" s="2" t="s">
        <v>2184</v>
      </c>
      <c r="O48" s="2" t="s">
        <v>1081</v>
      </c>
      <c r="P48" s="2" t="s">
        <v>2039</v>
      </c>
      <c r="Q48" s="2" t="s">
        <v>1082</v>
      </c>
      <c r="R48" s="11" t="str">
        <f>HYPERLINK("http://slimages.macys.com/is/image/MCY/15633945 ")</f>
        <v xml:space="preserve">http://slimages.macys.com/is/image/MCY/15633945 </v>
      </c>
    </row>
    <row r="49" spans="1:18" ht="24.75" x14ac:dyDescent="0.25">
      <c r="A49" s="8" t="s">
        <v>468</v>
      </c>
      <c r="B49" s="2" t="s">
        <v>469</v>
      </c>
      <c r="C49" s="4">
        <v>1</v>
      </c>
      <c r="D49" s="6">
        <v>8.27</v>
      </c>
      <c r="E49" s="6">
        <v>8.27</v>
      </c>
      <c r="F49" s="9">
        <v>19.989999999999998</v>
      </c>
      <c r="G49" s="6">
        <v>19.989999999999998</v>
      </c>
      <c r="H49" s="4" t="s">
        <v>470</v>
      </c>
      <c r="I49" s="2"/>
      <c r="J49" s="10" t="s">
        <v>1080</v>
      </c>
      <c r="K49" s="6"/>
      <c r="L49" s="6"/>
      <c r="M49" s="2" t="s">
        <v>1970</v>
      </c>
      <c r="N49" s="2" t="s">
        <v>2184</v>
      </c>
      <c r="O49" s="2" t="s">
        <v>374</v>
      </c>
      <c r="P49" s="2" t="s">
        <v>2039</v>
      </c>
      <c r="Q49" s="2" t="s">
        <v>2301</v>
      </c>
      <c r="R49" s="11" t="str">
        <f>HYPERLINK("http://slimages.macys.com/is/image/MCY/1304918 ")</f>
        <v xml:space="preserve">http://slimages.macys.com/is/image/MCY/1304918 </v>
      </c>
    </row>
    <row r="50" spans="1:18" ht="24.75" x14ac:dyDescent="0.25">
      <c r="A50" s="8" t="s">
        <v>471</v>
      </c>
      <c r="B50" s="2" t="s">
        <v>472</v>
      </c>
      <c r="C50" s="4">
        <v>1</v>
      </c>
      <c r="D50" s="6">
        <v>10.19</v>
      </c>
      <c r="E50" s="6">
        <v>10.19</v>
      </c>
      <c r="F50" s="9">
        <v>29.99</v>
      </c>
      <c r="G50" s="6">
        <v>29.99</v>
      </c>
      <c r="H50" s="4" t="s">
        <v>473</v>
      </c>
      <c r="I50" s="2" t="s">
        <v>2026</v>
      </c>
      <c r="J50" s="10" t="s">
        <v>2564</v>
      </c>
      <c r="K50" s="6"/>
      <c r="L50" s="6"/>
      <c r="M50" s="2" t="s">
        <v>1970</v>
      </c>
      <c r="N50" s="2" t="s">
        <v>991</v>
      </c>
      <c r="O50" s="2" t="s">
        <v>474</v>
      </c>
      <c r="P50" s="2" t="s">
        <v>1988</v>
      </c>
      <c r="Q50" s="2" t="s">
        <v>1995</v>
      </c>
      <c r="R50" s="11" t="str">
        <f>HYPERLINK("http://slimages.macys.com/is/image/MCY/1067178 ")</f>
        <v xml:space="preserve">http://slimages.macys.com/is/image/MCY/1067178 </v>
      </c>
    </row>
    <row r="51" spans="1:18" ht="36.75" x14ac:dyDescent="0.25">
      <c r="A51" s="8" t="s">
        <v>475</v>
      </c>
      <c r="B51" s="2" t="s">
        <v>476</v>
      </c>
      <c r="C51" s="4">
        <v>1</v>
      </c>
      <c r="D51" s="6">
        <v>8.61</v>
      </c>
      <c r="E51" s="6">
        <v>8.61</v>
      </c>
      <c r="F51" s="9">
        <v>24.99</v>
      </c>
      <c r="G51" s="6">
        <v>24.99</v>
      </c>
      <c r="H51" s="4" t="s">
        <v>477</v>
      </c>
      <c r="I51" s="2" t="s">
        <v>2026</v>
      </c>
      <c r="J51" s="10" t="s">
        <v>2107</v>
      </c>
      <c r="K51" s="6"/>
      <c r="L51" s="6"/>
      <c r="M51" s="2" t="s">
        <v>1970</v>
      </c>
      <c r="N51" s="2" t="s">
        <v>2012</v>
      </c>
      <c r="O51" s="2" t="s">
        <v>2062</v>
      </c>
      <c r="P51" s="2" t="s">
        <v>1988</v>
      </c>
      <c r="Q51" s="2" t="s">
        <v>478</v>
      </c>
      <c r="R51" s="11" t="str">
        <f>HYPERLINK("http://slimages.macys.com/is/image/MCY/9456534 ")</f>
        <v xml:space="preserve">http://slimages.macys.com/is/image/MCY/9456534 </v>
      </c>
    </row>
    <row r="52" spans="1:18" ht="36.75" x14ac:dyDescent="0.25">
      <c r="A52" s="8" t="s">
        <v>479</v>
      </c>
      <c r="B52" s="2" t="s">
        <v>480</v>
      </c>
      <c r="C52" s="4">
        <v>1</v>
      </c>
      <c r="D52" s="6">
        <v>8.61</v>
      </c>
      <c r="E52" s="6">
        <v>8.61</v>
      </c>
      <c r="F52" s="9">
        <v>24.99</v>
      </c>
      <c r="G52" s="6">
        <v>24.99</v>
      </c>
      <c r="H52" s="4" t="s">
        <v>481</v>
      </c>
      <c r="I52" s="2" t="s">
        <v>2252</v>
      </c>
      <c r="J52" s="10" t="s">
        <v>2107</v>
      </c>
      <c r="K52" s="6"/>
      <c r="L52" s="6"/>
      <c r="M52" s="2" t="s">
        <v>1970</v>
      </c>
      <c r="N52" s="2" t="s">
        <v>2012</v>
      </c>
      <c r="O52" s="2" t="s">
        <v>2062</v>
      </c>
      <c r="P52" s="2" t="s">
        <v>1988</v>
      </c>
      <c r="Q52" s="2" t="s">
        <v>478</v>
      </c>
      <c r="R52" s="11" t="str">
        <f>HYPERLINK("http://slimages.macys.com/is/image/MCY/9456534 ")</f>
        <v xml:space="preserve">http://slimages.macys.com/is/image/MCY/9456534 </v>
      </c>
    </row>
    <row r="53" spans="1:18" ht="24.75" x14ac:dyDescent="0.25">
      <c r="A53" s="8" t="s">
        <v>2328</v>
      </c>
      <c r="B53" s="2" t="s">
        <v>482</v>
      </c>
      <c r="C53" s="4">
        <v>3</v>
      </c>
      <c r="D53" s="6">
        <v>8.34</v>
      </c>
      <c r="E53" s="6">
        <v>25.02</v>
      </c>
      <c r="F53" s="9">
        <v>24.99</v>
      </c>
      <c r="G53" s="6">
        <v>74.97</v>
      </c>
      <c r="H53" s="4" t="s">
        <v>2330</v>
      </c>
      <c r="I53" s="2" t="s">
        <v>2017</v>
      </c>
      <c r="J53" s="10"/>
      <c r="K53" s="6"/>
      <c r="L53" s="6"/>
      <c r="M53" s="2" t="s">
        <v>1970</v>
      </c>
      <c r="N53" s="2" t="s">
        <v>2012</v>
      </c>
      <c r="O53" s="2" t="s">
        <v>2331</v>
      </c>
      <c r="P53" s="2" t="s">
        <v>1988</v>
      </c>
      <c r="Q53" s="2" t="s">
        <v>1995</v>
      </c>
      <c r="R53" s="11" t="str">
        <f>HYPERLINK("http://slimages.macys.com/is/image/MCY/11685195 ")</f>
        <v xml:space="preserve">http://slimages.macys.com/is/image/MCY/11685195 </v>
      </c>
    </row>
    <row r="54" spans="1:18" ht="24.75" x14ac:dyDescent="0.25">
      <c r="A54" s="8" t="s">
        <v>483</v>
      </c>
      <c r="B54" s="2" t="s">
        <v>484</v>
      </c>
      <c r="C54" s="4">
        <v>1</v>
      </c>
      <c r="D54" s="6">
        <v>7.61</v>
      </c>
      <c r="E54" s="6">
        <v>7.61</v>
      </c>
      <c r="F54" s="9">
        <v>19.989999999999998</v>
      </c>
      <c r="G54" s="6">
        <v>19.989999999999998</v>
      </c>
      <c r="H54" s="4">
        <v>2028</v>
      </c>
      <c r="I54" s="2"/>
      <c r="J54" s="10"/>
      <c r="K54" s="6"/>
      <c r="L54" s="6"/>
      <c r="M54" s="2" t="s">
        <v>1970</v>
      </c>
      <c r="N54" s="2" t="s">
        <v>2184</v>
      </c>
      <c r="O54" s="2" t="s">
        <v>374</v>
      </c>
      <c r="P54" s="2" t="s">
        <v>1988</v>
      </c>
      <c r="Q54" s="2"/>
      <c r="R54" s="11" t="str">
        <f>HYPERLINK("http://slimages.macys.com/is/image/MCY/9288847 ")</f>
        <v xml:space="preserve">http://slimages.macys.com/is/image/MCY/9288847 </v>
      </c>
    </row>
    <row r="55" spans="1:18" ht="24.75" x14ac:dyDescent="0.25">
      <c r="A55" s="8" t="s">
        <v>485</v>
      </c>
      <c r="B55" s="2" t="s">
        <v>486</v>
      </c>
      <c r="C55" s="4">
        <v>1</v>
      </c>
      <c r="D55" s="6">
        <v>7.61</v>
      </c>
      <c r="E55" s="6">
        <v>7.61</v>
      </c>
      <c r="F55" s="9">
        <v>19.989999999999998</v>
      </c>
      <c r="G55" s="6">
        <v>19.989999999999998</v>
      </c>
      <c r="H55" s="4">
        <v>2037</v>
      </c>
      <c r="I55" s="2"/>
      <c r="J55" s="10"/>
      <c r="K55" s="6"/>
      <c r="L55" s="6"/>
      <c r="M55" s="2" t="s">
        <v>1970</v>
      </c>
      <c r="N55" s="2" t="s">
        <v>2184</v>
      </c>
      <c r="O55" s="2" t="s">
        <v>374</v>
      </c>
      <c r="P55" s="2" t="s">
        <v>1988</v>
      </c>
      <c r="Q55" s="2"/>
      <c r="R55" s="11" t="str">
        <f>HYPERLINK("http://slimages.macys.com/is/image/MCY/9288847 ")</f>
        <v xml:space="preserve">http://slimages.macys.com/is/image/MCY/9288847 </v>
      </c>
    </row>
    <row r="56" spans="1:18" ht="24.75" x14ac:dyDescent="0.25">
      <c r="A56" s="8" t="s">
        <v>487</v>
      </c>
      <c r="B56" s="2" t="s">
        <v>488</v>
      </c>
      <c r="C56" s="4">
        <v>1</v>
      </c>
      <c r="D56" s="6">
        <v>6.75</v>
      </c>
      <c r="E56" s="6">
        <v>6.75</v>
      </c>
      <c r="F56" s="9">
        <v>14.99</v>
      </c>
      <c r="G56" s="6">
        <v>14.99</v>
      </c>
      <c r="H56" s="4">
        <v>1005239500</v>
      </c>
      <c r="I56" s="2" t="s">
        <v>2017</v>
      </c>
      <c r="J56" s="10" t="s">
        <v>1571</v>
      </c>
      <c r="K56" s="6"/>
      <c r="L56" s="6"/>
      <c r="M56" s="2" t="s">
        <v>1970</v>
      </c>
      <c r="N56" s="2" t="s">
        <v>2396</v>
      </c>
      <c r="O56" s="2" t="s">
        <v>1579</v>
      </c>
      <c r="P56" s="2" t="s">
        <v>2039</v>
      </c>
      <c r="Q56" s="2" t="s">
        <v>1995</v>
      </c>
      <c r="R56" s="11" t="str">
        <f>HYPERLINK("http://slimages.macys.com/is/image/MCY/10625674 ")</f>
        <v xml:space="preserve">http://slimages.macys.com/is/image/MCY/10625674 </v>
      </c>
    </row>
    <row r="57" spans="1:18" ht="24.75" x14ac:dyDescent="0.25">
      <c r="A57" s="8" t="s">
        <v>1691</v>
      </c>
      <c r="B57" s="2" t="s">
        <v>1692</v>
      </c>
      <c r="C57" s="4">
        <v>2</v>
      </c>
      <c r="D57" s="6">
        <v>6.36</v>
      </c>
      <c r="E57" s="6">
        <v>12.72</v>
      </c>
      <c r="F57" s="9">
        <v>25.99</v>
      </c>
      <c r="G57" s="6">
        <v>51.98</v>
      </c>
      <c r="H57" s="4">
        <v>1004428500</v>
      </c>
      <c r="I57" s="2" t="s">
        <v>2200</v>
      </c>
      <c r="J57" s="10"/>
      <c r="K57" s="6"/>
      <c r="L57" s="6"/>
      <c r="M57" s="2" t="s">
        <v>1970</v>
      </c>
      <c r="N57" s="2" t="s">
        <v>2396</v>
      </c>
      <c r="O57" s="2" t="s">
        <v>1693</v>
      </c>
      <c r="P57" s="2" t="s">
        <v>1988</v>
      </c>
      <c r="Q57" s="2" t="s">
        <v>2310</v>
      </c>
      <c r="R57" s="11" t="str">
        <f>HYPERLINK("http://slimages.macys.com/is/image/MCY/11340038 ")</f>
        <v xml:space="preserve">http://slimages.macys.com/is/image/MCY/11340038 </v>
      </c>
    </row>
    <row r="58" spans="1:18" ht="24.75" x14ac:dyDescent="0.25">
      <c r="A58" s="8" t="s">
        <v>489</v>
      </c>
      <c r="B58" s="2" t="s">
        <v>490</v>
      </c>
      <c r="C58" s="4">
        <v>1</v>
      </c>
      <c r="D58" s="6">
        <v>6.36</v>
      </c>
      <c r="E58" s="6">
        <v>6.36</v>
      </c>
      <c r="F58" s="9">
        <v>19.989999999999998</v>
      </c>
      <c r="G58" s="6">
        <v>19.989999999999998</v>
      </c>
      <c r="H58" s="4" t="s">
        <v>491</v>
      </c>
      <c r="I58" s="2" t="s">
        <v>492</v>
      </c>
      <c r="J58" s="10" t="s">
        <v>2107</v>
      </c>
      <c r="K58" s="6"/>
      <c r="L58" s="6"/>
      <c r="M58" s="2" t="s">
        <v>1970</v>
      </c>
      <c r="N58" s="2" t="s">
        <v>2012</v>
      </c>
      <c r="O58" s="2" t="s">
        <v>2062</v>
      </c>
      <c r="P58" s="2" t="s">
        <v>1988</v>
      </c>
      <c r="Q58" s="2" t="s">
        <v>2310</v>
      </c>
      <c r="R58" s="11" t="str">
        <f>HYPERLINK("http://slimages.macys.com/is/image/MCY/9456553 ")</f>
        <v xml:space="preserve">http://slimages.macys.com/is/image/MCY/9456553 </v>
      </c>
    </row>
    <row r="59" spans="1:18" ht="24.75" x14ac:dyDescent="0.25">
      <c r="A59" s="8" t="s">
        <v>493</v>
      </c>
      <c r="B59" s="2" t="s">
        <v>494</v>
      </c>
      <c r="C59" s="4">
        <v>1</v>
      </c>
      <c r="D59" s="6">
        <v>5.18</v>
      </c>
      <c r="E59" s="6">
        <v>5.18</v>
      </c>
      <c r="F59" s="9">
        <v>14.99</v>
      </c>
      <c r="G59" s="6">
        <v>14.99</v>
      </c>
      <c r="H59" s="4" t="s">
        <v>495</v>
      </c>
      <c r="I59" s="2" t="s">
        <v>2266</v>
      </c>
      <c r="J59" s="10" t="s">
        <v>496</v>
      </c>
      <c r="K59" s="6"/>
      <c r="L59" s="6"/>
      <c r="M59" s="2" t="s">
        <v>1970</v>
      </c>
      <c r="N59" s="2" t="s">
        <v>2184</v>
      </c>
      <c r="O59" s="2" t="s">
        <v>2967</v>
      </c>
      <c r="P59" s="2" t="s">
        <v>1988</v>
      </c>
      <c r="Q59" s="2"/>
      <c r="R59" s="11" t="str">
        <f>HYPERLINK("http://slimages.macys.com/is/image/MCY/9367750 ")</f>
        <v xml:space="preserve">http://slimages.macys.com/is/image/MCY/9367750 </v>
      </c>
    </row>
    <row r="60" spans="1:18" ht="36.75" x14ac:dyDescent="0.25">
      <c r="A60" s="8" t="s">
        <v>497</v>
      </c>
      <c r="B60" s="2" t="s">
        <v>498</v>
      </c>
      <c r="C60" s="4">
        <v>2</v>
      </c>
      <c r="D60" s="6">
        <v>5</v>
      </c>
      <c r="E60" s="6">
        <v>10</v>
      </c>
      <c r="F60" s="9">
        <v>9.99</v>
      </c>
      <c r="G60" s="6">
        <v>19.98</v>
      </c>
      <c r="H60" s="4" t="s">
        <v>499</v>
      </c>
      <c r="I60" s="2" t="s">
        <v>2026</v>
      </c>
      <c r="J60" s="10"/>
      <c r="K60" s="6"/>
      <c r="L60" s="6"/>
      <c r="M60" s="2" t="s">
        <v>1970</v>
      </c>
      <c r="N60" s="2" t="s">
        <v>2093</v>
      </c>
      <c r="O60" s="2" t="s">
        <v>2094</v>
      </c>
      <c r="P60" s="2" t="s">
        <v>1988</v>
      </c>
      <c r="Q60" s="2" t="s">
        <v>500</v>
      </c>
      <c r="R60" s="11" t="str">
        <f>HYPERLINK("http://slimages.macys.com/is/image/MCY/14842480 ")</f>
        <v xml:space="preserve">http://slimages.macys.com/is/image/MCY/14842480 </v>
      </c>
    </row>
    <row r="61" spans="1:18" ht="36.75" x14ac:dyDescent="0.25">
      <c r="A61" s="8" t="s">
        <v>501</v>
      </c>
      <c r="B61" s="2" t="s">
        <v>502</v>
      </c>
      <c r="C61" s="4">
        <v>2</v>
      </c>
      <c r="D61" s="6">
        <v>5</v>
      </c>
      <c r="E61" s="6">
        <v>10</v>
      </c>
      <c r="F61" s="9">
        <v>9.99</v>
      </c>
      <c r="G61" s="6">
        <v>19.98</v>
      </c>
      <c r="H61" s="4" t="s">
        <v>503</v>
      </c>
      <c r="I61" s="2" t="s">
        <v>2026</v>
      </c>
      <c r="J61" s="10"/>
      <c r="K61" s="6"/>
      <c r="L61" s="6"/>
      <c r="M61" s="2" t="s">
        <v>1970</v>
      </c>
      <c r="N61" s="2" t="s">
        <v>2093</v>
      </c>
      <c r="O61" s="2" t="s">
        <v>2094</v>
      </c>
      <c r="P61" s="2" t="s">
        <v>1988</v>
      </c>
      <c r="Q61" s="2" t="s">
        <v>500</v>
      </c>
      <c r="R61" s="11" t="str">
        <f>HYPERLINK("http://slimages.macys.com/is/image/MCY/14842480 ")</f>
        <v xml:space="preserve">http://slimages.macys.com/is/image/MCY/14842480 </v>
      </c>
    </row>
    <row r="62" spans="1:18" x14ac:dyDescent="0.25">
      <c r="A62" s="8" t="s">
        <v>504</v>
      </c>
      <c r="B62" s="2" t="s">
        <v>505</v>
      </c>
      <c r="C62" s="4">
        <v>1</v>
      </c>
      <c r="D62" s="6">
        <v>3.17</v>
      </c>
      <c r="E62" s="6">
        <v>3.17</v>
      </c>
      <c r="F62" s="9">
        <v>9.99</v>
      </c>
      <c r="G62" s="6">
        <v>9.99</v>
      </c>
      <c r="H62" s="4">
        <v>1005607400</v>
      </c>
      <c r="I62" s="2" t="s">
        <v>2026</v>
      </c>
      <c r="J62" s="10"/>
      <c r="K62" s="6"/>
      <c r="L62" s="6"/>
      <c r="M62" s="2" t="s">
        <v>1970</v>
      </c>
      <c r="N62" s="2" t="s">
        <v>2851</v>
      </c>
      <c r="O62" s="2" t="s">
        <v>506</v>
      </c>
      <c r="P62" s="2" t="s">
        <v>1988</v>
      </c>
      <c r="Q62" s="2" t="s">
        <v>318</v>
      </c>
      <c r="R62" s="11" t="str">
        <f>HYPERLINK("http://slimages.macys.com/is/image/MCY/11510058 ")</f>
        <v xml:space="preserve">http://slimages.macys.com/is/image/MCY/11510058 </v>
      </c>
    </row>
    <row r="63" spans="1:18" ht="24.75" x14ac:dyDescent="0.25">
      <c r="A63" s="8" t="s">
        <v>507</v>
      </c>
      <c r="B63" s="2" t="s">
        <v>508</v>
      </c>
      <c r="C63" s="4">
        <v>1</v>
      </c>
      <c r="D63" s="6">
        <v>8.2799999999999994</v>
      </c>
      <c r="E63" s="6">
        <v>8.2799999999999994</v>
      </c>
      <c r="F63" s="9">
        <v>19.989999999999998</v>
      </c>
      <c r="G63" s="6">
        <v>19.989999999999998</v>
      </c>
      <c r="H63" s="4" t="s">
        <v>509</v>
      </c>
      <c r="I63" s="2"/>
      <c r="J63" s="10"/>
      <c r="K63" s="6"/>
      <c r="L63" s="6"/>
      <c r="M63" s="2" t="s">
        <v>1970</v>
      </c>
      <c r="N63" s="2" t="s">
        <v>2184</v>
      </c>
      <c r="O63" s="2" t="s">
        <v>956</v>
      </c>
      <c r="P63" s="2"/>
      <c r="Q63" s="2"/>
      <c r="R63" s="11"/>
    </row>
  </sheetData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8"/>
  <sheetViews>
    <sheetView workbookViewId="0">
      <selection activeCell="B18" sqref="B18"/>
    </sheetView>
  </sheetViews>
  <sheetFormatPr defaultRowHeight="15" x14ac:dyDescent="0.25"/>
  <cols>
    <col min="1" max="1" width="14.28515625" customWidth="1"/>
    <col min="2" max="2" width="51.42578125" customWidth="1"/>
    <col min="3" max="3" width="15" customWidth="1"/>
    <col min="4" max="4" width="10.85546875" customWidth="1"/>
    <col min="5" max="6" width="15" customWidth="1"/>
    <col min="7" max="7" width="9.7109375" customWidth="1"/>
    <col min="8" max="8" width="14.8554687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694</v>
      </c>
      <c r="B2" s="2" t="s">
        <v>695</v>
      </c>
      <c r="C2" s="4">
        <v>1</v>
      </c>
      <c r="D2" s="6">
        <v>118.07</v>
      </c>
      <c r="E2" s="6">
        <v>118.07</v>
      </c>
      <c r="F2" s="9">
        <v>289.99</v>
      </c>
      <c r="G2" s="6">
        <v>289.99</v>
      </c>
      <c r="H2" s="4" t="s">
        <v>696</v>
      </c>
      <c r="I2" s="2" t="s">
        <v>2106</v>
      </c>
      <c r="J2" s="10"/>
      <c r="K2" s="6"/>
      <c r="L2" s="6"/>
      <c r="M2" s="2" t="s">
        <v>1970</v>
      </c>
      <c r="N2" s="2" t="s">
        <v>991</v>
      </c>
      <c r="O2" s="2" t="s">
        <v>992</v>
      </c>
      <c r="P2" s="2" t="s">
        <v>1988</v>
      </c>
      <c r="Q2" s="2" t="s">
        <v>697</v>
      </c>
      <c r="R2" s="11" t="str">
        <f>HYPERLINK("http://slimages.macys.com/is/image/MCY/9375088 ")</f>
        <v xml:space="preserve">http://slimages.macys.com/is/image/MCY/9375088 </v>
      </c>
    </row>
    <row r="3" spans="1:18" ht="24.75" x14ac:dyDescent="0.25">
      <c r="A3" s="8" t="s">
        <v>698</v>
      </c>
      <c r="B3" s="2" t="s">
        <v>699</v>
      </c>
      <c r="C3" s="4">
        <v>1</v>
      </c>
      <c r="D3" s="6">
        <v>98.77</v>
      </c>
      <c r="E3" s="6">
        <v>98.77</v>
      </c>
      <c r="F3" s="9">
        <v>249.99</v>
      </c>
      <c r="G3" s="6">
        <v>249.99</v>
      </c>
      <c r="H3" s="4" t="s">
        <v>700</v>
      </c>
      <c r="I3" s="2" t="s">
        <v>2106</v>
      </c>
      <c r="J3" s="10"/>
      <c r="K3" s="6"/>
      <c r="L3" s="6"/>
      <c r="M3" s="2" t="s">
        <v>1970</v>
      </c>
      <c r="N3" s="2" t="s">
        <v>991</v>
      </c>
      <c r="O3" s="2" t="s">
        <v>992</v>
      </c>
      <c r="P3" s="2" t="s">
        <v>1988</v>
      </c>
      <c r="Q3" s="2"/>
      <c r="R3" s="11" t="str">
        <f>HYPERLINK("http://slimages.macys.com/is/image/MCY/9375088 ")</f>
        <v xml:space="preserve">http://slimages.macys.com/is/image/MCY/9375088 </v>
      </c>
    </row>
    <row r="4" spans="1:18" ht="72.75" x14ac:dyDescent="0.25">
      <c r="A4" s="8" t="s">
        <v>701</v>
      </c>
      <c r="B4" s="2" t="s">
        <v>702</v>
      </c>
      <c r="C4" s="4">
        <v>1</v>
      </c>
      <c r="D4" s="6">
        <v>72</v>
      </c>
      <c r="E4" s="6">
        <v>72</v>
      </c>
      <c r="F4" s="9">
        <v>149.99</v>
      </c>
      <c r="G4" s="6">
        <v>149.99</v>
      </c>
      <c r="H4" s="4" t="s">
        <v>703</v>
      </c>
      <c r="I4" s="2" t="s">
        <v>2017</v>
      </c>
      <c r="J4" s="10"/>
      <c r="K4" s="6"/>
      <c r="L4" s="6"/>
      <c r="M4" s="2" t="s">
        <v>1970</v>
      </c>
      <c r="N4" s="2" t="s">
        <v>891</v>
      </c>
      <c r="O4" s="2" t="s">
        <v>304</v>
      </c>
      <c r="P4" s="2" t="s">
        <v>1988</v>
      </c>
      <c r="Q4" s="2" t="s">
        <v>704</v>
      </c>
      <c r="R4" s="11" t="str">
        <f>HYPERLINK("http://slimages.macys.com/is/image/MCY/9964951 ")</f>
        <v xml:space="preserve">http://slimages.macys.com/is/image/MCY/9964951 </v>
      </c>
    </row>
    <row r="5" spans="1:18" ht="24.75" x14ac:dyDescent="0.25">
      <c r="A5" s="8" t="s">
        <v>705</v>
      </c>
      <c r="B5" s="2" t="s">
        <v>706</v>
      </c>
      <c r="C5" s="4">
        <v>1</v>
      </c>
      <c r="D5" s="6">
        <v>68</v>
      </c>
      <c r="E5" s="6">
        <v>68</v>
      </c>
      <c r="F5" s="9">
        <v>159.99</v>
      </c>
      <c r="G5" s="6">
        <v>159.99</v>
      </c>
      <c r="H5" s="4" t="s">
        <v>707</v>
      </c>
      <c r="I5" s="2" t="s">
        <v>1993</v>
      </c>
      <c r="J5" s="10"/>
      <c r="K5" s="6"/>
      <c r="L5" s="6"/>
      <c r="M5" s="2" t="s">
        <v>1970</v>
      </c>
      <c r="N5" s="2" t="s">
        <v>1442</v>
      </c>
      <c r="O5" s="2" t="s">
        <v>1443</v>
      </c>
      <c r="P5" s="2" t="s">
        <v>2933</v>
      </c>
      <c r="Q5" s="2" t="s">
        <v>708</v>
      </c>
      <c r="R5" s="11" t="str">
        <f>HYPERLINK("http://slimages.macys.com/is/image/MCY/9893977 ")</f>
        <v xml:space="preserve">http://slimages.macys.com/is/image/MCY/9893977 </v>
      </c>
    </row>
    <row r="6" spans="1:18" ht="72.75" x14ac:dyDescent="0.25">
      <c r="A6" s="8" t="s">
        <v>709</v>
      </c>
      <c r="B6" s="2" t="s">
        <v>710</v>
      </c>
      <c r="C6" s="4">
        <v>1</v>
      </c>
      <c r="D6" s="6">
        <v>62.5</v>
      </c>
      <c r="E6" s="6">
        <v>62.5</v>
      </c>
      <c r="F6" s="9">
        <v>129.99</v>
      </c>
      <c r="G6" s="6">
        <v>129.99</v>
      </c>
      <c r="H6" s="4" t="s">
        <v>711</v>
      </c>
      <c r="I6" s="2" t="s">
        <v>2017</v>
      </c>
      <c r="J6" s="10"/>
      <c r="K6" s="6"/>
      <c r="L6" s="6"/>
      <c r="M6" s="2" t="s">
        <v>1970</v>
      </c>
      <c r="N6" s="2" t="s">
        <v>891</v>
      </c>
      <c r="O6" s="2" t="s">
        <v>304</v>
      </c>
      <c r="P6" s="2" t="s">
        <v>1988</v>
      </c>
      <c r="Q6" s="2" t="s">
        <v>704</v>
      </c>
      <c r="R6" s="11" t="str">
        <f>HYPERLINK("http://slimages.macys.com/is/image/MCY/9964951 ")</f>
        <v xml:space="preserve">http://slimages.macys.com/is/image/MCY/9964951 </v>
      </c>
    </row>
    <row r="7" spans="1:18" ht="108.75" x14ac:dyDescent="0.25">
      <c r="A7" s="8" t="s">
        <v>712</v>
      </c>
      <c r="B7" s="2" t="s">
        <v>713</v>
      </c>
      <c r="C7" s="4">
        <v>2</v>
      </c>
      <c r="D7" s="6">
        <v>60.61</v>
      </c>
      <c r="E7" s="6">
        <v>121.22</v>
      </c>
      <c r="F7" s="9">
        <v>179.99</v>
      </c>
      <c r="G7" s="6">
        <v>359.98</v>
      </c>
      <c r="H7" s="4">
        <v>80061</v>
      </c>
      <c r="I7" s="2" t="s">
        <v>1998</v>
      </c>
      <c r="J7" s="10"/>
      <c r="K7" s="6"/>
      <c r="L7" s="6"/>
      <c r="M7" s="2" t="s">
        <v>1970</v>
      </c>
      <c r="N7" s="2" t="s">
        <v>1986</v>
      </c>
      <c r="O7" s="2" t="s">
        <v>1999</v>
      </c>
      <c r="P7" s="2" t="s">
        <v>1988</v>
      </c>
      <c r="Q7" s="2" t="s">
        <v>714</v>
      </c>
      <c r="R7" s="11" t="str">
        <f>HYPERLINK("http://slimages.macys.com/is/image/MCY/9952757 ")</f>
        <v xml:space="preserve">http://slimages.macys.com/is/image/MCY/9952757 </v>
      </c>
    </row>
    <row r="8" spans="1:18" ht="24.75" x14ac:dyDescent="0.25">
      <c r="A8" s="8" t="s">
        <v>715</v>
      </c>
      <c r="B8" s="2" t="s">
        <v>716</v>
      </c>
      <c r="C8" s="4">
        <v>1</v>
      </c>
      <c r="D8" s="6">
        <v>46.24</v>
      </c>
      <c r="E8" s="6">
        <v>46.24</v>
      </c>
      <c r="F8" s="9">
        <v>129.99</v>
      </c>
      <c r="G8" s="6">
        <v>129.99</v>
      </c>
      <c r="H8" s="4" t="s">
        <v>717</v>
      </c>
      <c r="I8" s="2" t="s">
        <v>2430</v>
      </c>
      <c r="J8" s="10"/>
      <c r="K8" s="6"/>
      <c r="L8" s="6"/>
      <c r="M8" s="2" t="s">
        <v>1970</v>
      </c>
      <c r="N8" s="2" t="s">
        <v>2386</v>
      </c>
      <c r="O8" s="2" t="s">
        <v>2932</v>
      </c>
      <c r="P8" s="2" t="s">
        <v>1988</v>
      </c>
      <c r="Q8" s="2" t="s">
        <v>2095</v>
      </c>
      <c r="R8" s="11" t="str">
        <f>HYPERLINK("http://slimages.macys.com/is/image/MCY/9139786 ")</f>
        <v xml:space="preserve">http://slimages.macys.com/is/image/MCY/9139786 </v>
      </c>
    </row>
    <row r="9" spans="1:18" ht="36.75" x14ac:dyDescent="0.25">
      <c r="A9" s="8" t="s">
        <v>718</v>
      </c>
      <c r="B9" s="2" t="s">
        <v>719</v>
      </c>
      <c r="C9" s="4">
        <v>1</v>
      </c>
      <c r="D9" s="6">
        <v>46.12</v>
      </c>
      <c r="E9" s="6">
        <v>46.12</v>
      </c>
      <c r="F9" s="9">
        <v>119.99</v>
      </c>
      <c r="G9" s="6">
        <v>119.99</v>
      </c>
      <c r="H9" s="4" t="s">
        <v>720</v>
      </c>
      <c r="I9" s="2" t="s">
        <v>1315</v>
      </c>
      <c r="J9" s="10"/>
      <c r="K9" s="6"/>
      <c r="L9" s="6"/>
      <c r="M9" s="2" t="s">
        <v>1970</v>
      </c>
      <c r="N9" s="2" t="s">
        <v>2295</v>
      </c>
      <c r="O9" s="2" t="s">
        <v>192</v>
      </c>
      <c r="P9" s="2" t="s">
        <v>1988</v>
      </c>
      <c r="Q9" s="2" t="s">
        <v>721</v>
      </c>
      <c r="R9" s="11" t="str">
        <f>HYPERLINK("http://slimages.macys.com/is/image/MCY/10128042 ")</f>
        <v xml:space="preserve">http://slimages.macys.com/is/image/MCY/10128042 </v>
      </c>
    </row>
    <row r="10" spans="1:18" ht="24.75" x14ac:dyDescent="0.25">
      <c r="A10" s="8" t="s">
        <v>2246</v>
      </c>
      <c r="B10" s="2" t="s">
        <v>2247</v>
      </c>
      <c r="C10" s="4">
        <v>1</v>
      </c>
      <c r="D10" s="6">
        <v>45.46</v>
      </c>
      <c r="E10" s="6">
        <v>45.46</v>
      </c>
      <c r="F10" s="9">
        <v>109.99</v>
      </c>
      <c r="G10" s="6">
        <v>109.99</v>
      </c>
      <c r="H10" s="4" t="s">
        <v>2248</v>
      </c>
      <c r="I10" s="2" t="s">
        <v>1993</v>
      </c>
      <c r="J10" s="10"/>
      <c r="K10" s="6"/>
      <c r="L10" s="6"/>
      <c r="M10" s="2" t="s">
        <v>1970</v>
      </c>
      <c r="N10" s="2" t="s">
        <v>1986</v>
      </c>
      <c r="O10" s="2" t="s">
        <v>1987</v>
      </c>
      <c r="P10" s="2" t="s">
        <v>1988</v>
      </c>
      <c r="Q10" s="2" t="s">
        <v>1995</v>
      </c>
      <c r="R10" s="11" t="str">
        <f>HYPERLINK("http://slimages.macys.com/is/image/MCY/8930319 ")</f>
        <v xml:space="preserve">http://slimages.macys.com/is/image/MCY/8930319 </v>
      </c>
    </row>
    <row r="11" spans="1:18" ht="24.75" x14ac:dyDescent="0.25">
      <c r="A11" s="8" t="s">
        <v>722</v>
      </c>
      <c r="B11" s="2" t="s">
        <v>723</v>
      </c>
      <c r="C11" s="4">
        <v>1</v>
      </c>
      <c r="D11" s="6">
        <v>42.94</v>
      </c>
      <c r="E11" s="6">
        <v>42.94</v>
      </c>
      <c r="F11" s="9">
        <v>125.99</v>
      </c>
      <c r="G11" s="6">
        <v>125.99</v>
      </c>
      <c r="H11" s="4" t="s">
        <v>724</v>
      </c>
      <c r="I11" s="2" t="s">
        <v>1076</v>
      </c>
      <c r="J11" s="10"/>
      <c r="K11" s="6"/>
      <c r="L11" s="6"/>
      <c r="M11" s="2" t="s">
        <v>1970</v>
      </c>
      <c r="N11" s="2" t="s">
        <v>1986</v>
      </c>
      <c r="O11" s="2" t="s">
        <v>1208</v>
      </c>
      <c r="P11" s="2" t="s">
        <v>1988</v>
      </c>
      <c r="Q11" s="2" t="s">
        <v>1995</v>
      </c>
      <c r="R11" s="11" t="str">
        <f>HYPERLINK("http://slimages.macys.com/is/image/MCY/10008191 ")</f>
        <v xml:space="preserve">http://slimages.macys.com/is/image/MCY/10008191 </v>
      </c>
    </row>
    <row r="12" spans="1:18" ht="24.75" x14ac:dyDescent="0.25">
      <c r="A12" s="8" t="s">
        <v>725</v>
      </c>
      <c r="B12" s="2" t="s">
        <v>726</v>
      </c>
      <c r="C12" s="4">
        <v>1</v>
      </c>
      <c r="D12" s="6">
        <v>31.85</v>
      </c>
      <c r="E12" s="6">
        <v>31.85</v>
      </c>
      <c r="F12" s="9">
        <v>49.99</v>
      </c>
      <c r="G12" s="6">
        <v>49.99</v>
      </c>
      <c r="H12" s="4" t="s">
        <v>727</v>
      </c>
      <c r="I12" s="2" t="s">
        <v>2017</v>
      </c>
      <c r="J12" s="10" t="s">
        <v>2621</v>
      </c>
      <c r="K12" s="6"/>
      <c r="L12" s="6"/>
      <c r="M12" s="2" t="s">
        <v>1970</v>
      </c>
      <c r="N12" s="2" t="s">
        <v>1986</v>
      </c>
      <c r="O12" s="2" t="s">
        <v>827</v>
      </c>
      <c r="P12" s="2" t="s">
        <v>1988</v>
      </c>
      <c r="Q12" s="2"/>
      <c r="R12" s="11" t="str">
        <f>HYPERLINK("http://slimages.macys.com/is/image/MCY/8344056 ")</f>
        <v xml:space="preserve">http://slimages.macys.com/is/image/MCY/8344056 </v>
      </c>
    </row>
    <row r="13" spans="1:18" ht="24.75" x14ac:dyDescent="0.25">
      <c r="A13" s="8" t="s">
        <v>728</v>
      </c>
      <c r="B13" s="2" t="s">
        <v>729</v>
      </c>
      <c r="C13" s="4">
        <v>1</v>
      </c>
      <c r="D13" s="6">
        <v>26.41</v>
      </c>
      <c r="E13" s="6">
        <v>26.41</v>
      </c>
      <c r="F13" s="9">
        <v>79.989999999999995</v>
      </c>
      <c r="G13" s="6">
        <v>79.989999999999995</v>
      </c>
      <c r="H13" s="4" t="s">
        <v>730</v>
      </c>
      <c r="I13" s="2" t="s">
        <v>2530</v>
      </c>
      <c r="J13" s="10"/>
      <c r="K13" s="6"/>
      <c r="L13" s="6"/>
      <c r="M13" s="2" t="s">
        <v>1970</v>
      </c>
      <c r="N13" s="2" t="s">
        <v>2027</v>
      </c>
      <c r="O13" s="2" t="s">
        <v>1987</v>
      </c>
      <c r="P13" s="2" t="s">
        <v>2933</v>
      </c>
      <c r="Q13" s="2" t="s">
        <v>1995</v>
      </c>
      <c r="R13" s="11" t="str">
        <f>HYPERLINK("http://slimages.macys.com/is/image/MCY/2881466 ")</f>
        <v xml:space="preserve">http://slimages.macys.com/is/image/MCY/2881466 </v>
      </c>
    </row>
    <row r="14" spans="1:18" ht="24.75" x14ac:dyDescent="0.25">
      <c r="A14" s="8" t="s">
        <v>731</v>
      </c>
      <c r="B14" s="2" t="s">
        <v>732</v>
      </c>
      <c r="C14" s="4">
        <v>2</v>
      </c>
      <c r="D14" s="6">
        <v>20.2</v>
      </c>
      <c r="E14" s="6">
        <v>40.4</v>
      </c>
      <c r="F14" s="9">
        <v>39.99</v>
      </c>
      <c r="G14" s="6">
        <v>79.98</v>
      </c>
      <c r="H14" s="4" t="s">
        <v>733</v>
      </c>
      <c r="I14" s="2" t="s">
        <v>2026</v>
      </c>
      <c r="J14" s="10"/>
      <c r="K14" s="6"/>
      <c r="L14" s="6"/>
      <c r="M14" s="2" t="s">
        <v>1970</v>
      </c>
      <c r="N14" s="2" t="s">
        <v>2005</v>
      </c>
      <c r="O14" s="2" t="s">
        <v>734</v>
      </c>
      <c r="P14" s="2" t="s">
        <v>2039</v>
      </c>
      <c r="Q14" s="2" t="s">
        <v>2305</v>
      </c>
      <c r="R14" s="11" t="str">
        <f>HYPERLINK("http://slimages.macys.com/is/image/MCY/11497780 ")</f>
        <v xml:space="preserve">http://slimages.macys.com/is/image/MCY/11497780 </v>
      </c>
    </row>
    <row r="15" spans="1:18" ht="24.75" x14ac:dyDescent="0.25">
      <c r="A15" s="8" t="s">
        <v>735</v>
      </c>
      <c r="B15" s="2" t="s">
        <v>736</v>
      </c>
      <c r="C15" s="4">
        <v>1</v>
      </c>
      <c r="D15" s="6">
        <v>23</v>
      </c>
      <c r="E15" s="6">
        <v>23</v>
      </c>
      <c r="F15" s="9">
        <v>67.989999999999995</v>
      </c>
      <c r="G15" s="6">
        <v>67.989999999999995</v>
      </c>
      <c r="H15" s="4" t="s">
        <v>737</v>
      </c>
      <c r="I15" s="2" t="s">
        <v>1315</v>
      </c>
      <c r="J15" s="10"/>
      <c r="K15" s="6"/>
      <c r="L15" s="6"/>
      <c r="M15" s="2" t="s">
        <v>1970</v>
      </c>
      <c r="N15" s="2" t="s">
        <v>1986</v>
      </c>
      <c r="O15" s="2" t="s">
        <v>1833</v>
      </c>
      <c r="P15" s="2" t="s">
        <v>1988</v>
      </c>
      <c r="Q15" s="2" t="s">
        <v>1834</v>
      </c>
      <c r="R15" s="11" t="str">
        <f>HYPERLINK("http://slimages.macys.com/is/image/MCY/12677580 ")</f>
        <v xml:space="preserve">http://slimages.macys.com/is/image/MCY/12677580 </v>
      </c>
    </row>
    <row r="16" spans="1:18" ht="24.75" x14ac:dyDescent="0.25">
      <c r="A16" s="8" t="s">
        <v>738</v>
      </c>
      <c r="B16" s="2" t="s">
        <v>739</v>
      </c>
      <c r="C16" s="4">
        <v>1</v>
      </c>
      <c r="D16" s="6">
        <v>21.04</v>
      </c>
      <c r="E16" s="6">
        <v>21.04</v>
      </c>
      <c r="F16" s="9">
        <v>49.99</v>
      </c>
      <c r="G16" s="6">
        <v>49.99</v>
      </c>
      <c r="H16" s="4">
        <v>20564022</v>
      </c>
      <c r="I16" s="2" t="s">
        <v>2071</v>
      </c>
      <c r="J16" s="10"/>
      <c r="K16" s="6"/>
      <c r="L16" s="6"/>
      <c r="M16" s="2" t="s">
        <v>1970</v>
      </c>
      <c r="N16" s="2" t="s">
        <v>1986</v>
      </c>
      <c r="O16" s="2" t="s">
        <v>2967</v>
      </c>
      <c r="P16" s="2" t="s">
        <v>1988</v>
      </c>
      <c r="Q16" s="2" t="s">
        <v>2053</v>
      </c>
      <c r="R16" s="11" t="str">
        <f>HYPERLINK("http://slimages.macys.com/is/image/MCY/11709038 ")</f>
        <v xml:space="preserve">http://slimages.macys.com/is/image/MCY/11709038 </v>
      </c>
    </row>
    <row r="17" spans="1:18" ht="24.75" x14ac:dyDescent="0.25">
      <c r="A17" s="8" t="s">
        <v>740</v>
      </c>
      <c r="B17" s="2" t="s">
        <v>741</v>
      </c>
      <c r="C17" s="4">
        <v>1</v>
      </c>
      <c r="D17" s="6">
        <v>20.87</v>
      </c>
      <c r="E17" s="6">
        <v>20.87</v>
      </c>
      <c r="F17" s="9">
        <v>62.99</v>
      </c>
      <c r="G17" s="6">
        <v>62.99</v>
      </c>
      <c r="H17" s="4">
        <v>80805</v>
      </c>
      <c r="I17" s="2" t="s">
        <v>1985</v>
      </c>
      <c r="J17" s="10"/>
      <c r="K17" s="6"/>
      <c r="L17" s="6"/>
      <c r="M17" s="2" t="s">
        <v>1970</v>
      </c>
      <c r="N17" s="2" t="s">
        <v>1986</v>
      </c>
      <c r="O17" s="2" t="s">
        <v>1999</v>
      </c>
      <c r="P17" s="2" t="s">
        <v>1988</v>
      </c>
      <c r="Q17" s="2" t="s">
        <v>1995</v>
      </c>
      <c r="R17" s="11" t="str">
        <f>HYPERLINK("http://slimages.macys.com/is/image/MCY/13040242 ")</f>
        <v xml:space="preserve">http://slimages.macys.com/is/image/MCY/13040242 </v>
      </c>
    </row>
    <row r="18" spans="1:18" ht="36.75" x14ac:dyDescent="0.25">
      <c r="A18" s="8" t="s">
        <v>742</v>
      </c>
      <c r="B18" s="2" t="s">
        <v>743</v>
      </c>
      <c r="C18" s="4">
        <v>2</v>
      </c>
      <c r="D18" s="6">
        <v>17.18</v>
      </c>
      <c r="E18" s="6">
        <v>34.36</v>
      </c>
      <c r="F18" s="9">
        <v>39.99</v>
      </c>
      <c r="G18" s="6">
        <v>79.98</v>
      </c>
      <c r="H18" s="4">
        <v>10002799800</v>
      </c>
      <c r="I18" s="2" t="s">
        <v>2017</v>
      </c>
      <c r="J18" s="10"/>
      <c r="K18" s="6"/>
      <c r="L18" s="6"/>
      <c r="M18" s="2" t="s">
        <v>1970</v>
      </c>
      <c r="N18" s="2" t="s">
        <v>2846</v>
      </c>
      <c r="O18" s="2" t="s">
        <v>2847</v>
      </c>
      <c r="P18" s="2" t="s">
        <v>2933</v>
      </c>
      <c r="Q18" s="2" t="s">
        <v>744</v>
      </c>
      <c r="R18" s="11" t="str">
        <f>HYPERLINK("http://slimages.macys.com/is/image/MCY/9629131 ")</f>
        <v xml:space="preserve">http://slimages.macys.com/is/image/MCY/9629131 </v>
      </c>
    </row>
    <row r="19" spans="1:18" ht="24.75" x14ac:dyDescent="0.25">
      <c r="A19" s="8" t="s">
        <v>745</v>
      </c>
      <c r="B19" s="2" t="s">
        <v>746</v>
      </c>
      <c r="C19" s="4">
        <v>1</v>
      </c>
      <c r="D19" s="6">
        <v>17</v>
      </c>
      <c r="E19" s="6">
        <v>17</v>
      </c>
      <c r="F19" s="9">
        <v>49.99</v>
      </c>
      <c r="G19" s="6">
        <v>49.99</v>
      </c>
      <c r="H19" s="4" t="s">
        <v>747</v>
      </c>
      <c r="I19" s="2" t="s">
        <v>2811</v>
      </c>
      <c r="J19" s="10" t="s">
        <v>748</v>
      </c>
      <c r="K19" s="6"/>
      <c r="L19" s="6"/>
      <c r="M19" s="2" t="s">
        <v>1970</v>
      </c>
      <c r="N19" s="2" t="s">
        <v>2626</v>
      </c>
      <c r="O19" s="2" t="s">
        <v>1053</v>
      </c>
      <c r="P19" s="2" t="s">
        <v>1988</v>
      </c>
      <c r="Q19" s="2" t="s">
        <v>1995</v>
      </c>
      <c r="R19" s="11" t="str">
        <f>HYPERLINK("http://slimages.macys.com/is/image/MCY/3808464 ")</f>
        <v xml:space="preserve">http://slimages.macys.com/is/image/MCY/3808464 </v>
      </c>
    </row>
    <row r="20" spans="1:18" ht="60.75" x14ac:dyDescent="0.25">
      <c r="A20" s="8" t="s">
        <v>2818</v>
      </c>
      <c r="B20" s="2" t="s">
        <v>2819</v>
      </c>
      <c r="C20" s="4">
        <v>1</v>
      </c>
      <c r="D20" s="6">
        <v>14.29</v>
      </c>
      <c r="E20" s="6">
        <v>14.29</v>
      </c>
      <c r="F20" s="9">
        <v>31.99</v>
      </c>
      <c r="G20" s="6">
        <v>31.99</v>
      </c>
      <c r="H20" s="4" t="s">
        <v>2820</v>
      </c>
      <c r="I20" s="2" t="s">
        <v>2071</v>
      </c>
      <c r="J20" s="10" t="s">
        <v>2072</v>
      </c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2821</v>
      </c>
      <c r="R20" s="11" t="str">
        <f>HYPERLINK("http://slimages.macys.com/is/image/MCY/9613989 ")</f>
        <v xml:space="preserve">http://slimages.macys.com/is/image/MCY/9613989 </v>
      </c>
    </row>
    <row r="21" spans="1:18" ht="24.75" x14ac:dyDescent="0.25">
      <c r="A21" s="8" t="s">
        <v>749</v>
      </c>
      <c r="B21" s="2" t="s">
        <v>750</v>
      </c>
      <c r="C21" s="4">
        <v>1</v>
      </c>
      <c r="D21" s="6">
        <v>14.23</v>
      </c>
      <c r="E21" s="6">
        <v>14.23</v>
      </c>
      <c r="F21" s="9">
        <v>38.99</v>
      </c>
      <c r="G21" s="6">
        <v>38.99</v>
      </c>
      <c r="H21" s="4" t="s">
        <v>751</v>
      </c>
      <c r="I21" s="2" t="s">
        <v>2048</v>
      </c>
      <c r="J21" s="10"/>
      <c r="K21" s="6"/>
      <c r="L21" s="6"/>
      <c r="M21" s="2" t="s">
        <v>1970</v>
      </c>
      <c r="N21" s="2" t="s">
        <v>1986</v>
      </c>
      <c r="O21" s="2" t="s">
        <v>1994</v>
      </c>
      <c r="P21" s="2" t="s">
        <v>1988</v>
      </c>
      <c r="Q21" s="2" t="s">
        <v>2585</v>
      </c>
      <c r="R21" s="11" t="str">
        <f>HYPERLINK("http://slimages.macys.com/is/image/MCY/10005660 ")</f>
        <v xml:space="preserve">http://slimages.macys.com/is/image/MCY/10005660 </v>
      </c>
    </row>
    <row r="22" spans="1:18" ht="24.75" x14ac:dyDescent="0.25">
      <c r="A22" s="8" t="s">
        <v>752</v>
      </c>
      <c r="B22" s="2" t="s">
        <v>753</v>
      </c>
      <c r="C22" s="4">
        <v>1</v>
      </c>
      <c r="D22" s="6">
        <v>12.15</v>
      </c>
      <c r="E22" s="6">
        <v>12.15</v>
      </c>
      <c r="F22" s="9">
        <v>29.99</v>
      </c>
      <c r="G22" s="6">
        <v>29.99</v>
      </c>
      <c r="H22" s="4">
        <v>17164</v>
      </c>
      <c r="I22" s="2" t="s">
        <v>2026</v>
      </c>
      <c r="J22" s="10"/>
      <c r="K22" s="6"/>
      <c r="L22" s="6"/>
      <c r="M22" s="2" t="s">
        <v>1970</v>
      </c>
      <c r="N22" s="2" t="s">
        <v>2005</v>
      </c>
      <c r="O22" s="2" t="s">
        <v>2098</v>
      </c>
      <c r="P22" s="2" t="s">
        <v>1988</v>
      </c>
      <c r="Q22" s="2" t="s">
        <v>754</v>
      </c>
      <c r="R22" s="11" t="str">
        <f>HYPERLINK("http://slimages.macys.com/is/image/MCY/12048806 ")</f>
        <v xml:space="preserve">http://slimages.macys.com/is/image/MCY/12048806 </v>
      </c>
    </row>
    <row r="23" spans="1:18" ht="36.75" x14ac:dyDescent="0.25">
      <c r="A23" s="8" t="s">
        <v>755</v>
      </c>
      <c r="B23" s="2" t="s">
        <v>756</v>
      </c>
      <c r="C23" s="4">
        <v>1</v>
      </c>
      <c r="D23" s="6">
        <v>11.91</v>
      </c>
      <c r="E23" s="6">
        <v>11.91</v>
      </c>
      <c r="F23" s="9">
        <v>24.99</v>
      </c>
      <c r="G23" s="6">
        <v>24.99</v>
      </c>
      <c r="H23" s="4" t="s">
        <v>757</v>
      </c>
      <c r="I23" s="2" t="s">
        <v>2200</v>
      </c>
      <c r="J23" s="10"/>
      <c r="K23" s="6"/>
      <c r="L23" s="6"/>
      <c r="M23" s="2" t="s">
        <v>1970</v>
      </c>
      <c r="N23" s="2" t="s">
        <v>2012</v>
      </c>
      <c r="O23" s="2" t="s">
        <v>1987</v>
      </c>
      <c r="P23" s="2" t="s">
        <v>1988</v>
      </c>
      <c r="Q23" s="2" t="s">
        <v>758</v>
      </c>
      <c r="R23" s="11" t="str">
        <f>HYPERLINK("http://slimages.macys.com/is/image/MCY/9539706 ")</f>
        <v xml:space="preserve">http://slimages.macys.com/is/image/MCY/9539706 </v>
      </c>
    </row>
    <row r="24" spans="1:18" ht="24.75" x14ac:dyDescent="0.25">
      <c r="A24" s="8" t="s">
        <v>759</v>
      </c>
      <c r="B24" s="2" t="s">
        <v>760</v>
      </c>
      <c r="C24" s="4">
        <v>3</v>
      </c>
      <c r="D24" s="6">
        <v>13.5</v>
      </c>
      <c r="E24" s="6">
        <v>40.5</v>
      </c>
      <c r="F24" s="9">
        <v>29.99</v>
      </c>
      <c r="G24" s="6">
        <v>89.97</v>
      </c>
      <c r="H24" s="4" t="s">
        <v>761</v>
      </c>
      <c r="I24" s="2" t="s">
        <v>2011</v>
      </c>
      <c r="J24" s="10"/>
      <c r="K24" s="6"/>
      <c r="L24" s="6"/>
      <c r="M24" s="2" t="s">
        <v>1970</v>
      </c>
      <c r="N24" s="2" t="s">
        <v>2846</v>
      </c>
      <c r="O24" s="2" t="s">
        <v>2847</v>
      </c>
      <c r="P24" s="2" t="s">
        <v>2933</v>
      </c>
      <c r="Q24" s="2" t="s">
        <v>2352</v>
      </c>
      <c r="R24" s="11" t="str">
        <f>HYPERLINK("http://slimages.macys.com/is/image/MCY/9121143 ")</f>
        <v xml:space="preserve">http://slimages.macys.com/is/image/MCY/9121143 </v>
      </c>
    </row>
    <row r="25" spans="1:18" ht="24.75" x14ac:dyDescent="0.25">
      <c r="A25" s="8" t="s">
        <v>762</v>
      </c>
      <c r="B25" s="2" t="s">
        <v>763</v>
      </c>
      <c r="C25" s="4">
        <v>1</v>
      </c>
      <c r="D25" s="6">
        <v>11.16</v>
      </c>
      <c r="E25" s="6">
        <v>11.16</v>
      </c>
      <c r="F25" s="9">
        <v>27.99</v>
      </c>
      <c r="G25" s="6">
        <v>27.99</v>
      </c>
      <c r="H25" s="4" t="s">
        <v>764</v>
      </c>
      <c r="I25" s="2" t="s">
        <v>2189</v>
      </c>
      <c r="J25" s="10"/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1087</v>
      </c>
      <c r="R25" s="11" t="str">
        <f>HYPERLINK("http://slimages.macys.com/is/image/MCY/9534578 ")</f>
        <v xml:space="preserve">http://slimages.macys.com/is/image/MCY/9534578 </v>
      </c>
    </row>
    <row r="26" spans="1:18" ht="24.75" x14ac:dyDescent="0.25">
      <c r="A26" s="8" t="s">
        <v>1083</v>
      </c>
      <c r="B26" s="2" t="s">
        <v>765</v>
      </c>
      <c r="C26" s="4">
        <v>1</v>
      </c>
      <c r="D26" s="6">
        <v>11.16</v>
      </c>
      <c r="E26" s="6">
        <v>11.16</v>
      </c>
      <c r="F26" s="9">
        <v>27.99</v>
      </c>
      <c r="G26" s="6">
        <v>27.99</v>
      </c>
      <c r="H26" s="4" t="s">
        <v>1085</v>
      </c>
      <c r="I26" s="2" t="s">
        <v>1086</v>
      </c>
      <c r="J26" s="10"/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1087</v>
      </c>
      <c r="R26" s="11" t="str">
        <f>HYPERLINK("http://slimages.macys.com/is/image/MCY/9534578 ")</f>
        <v xml:space="preserve">http://slimages.macys.com/is/image/MCY/9534578 </v>
      </c>
    </row>
    <row r="27" spans="1:18" ht="24.75" x14ac:dyDescent="0.25">
      <c r="A27" s="8" t="s">
        <v>766</v>
      </c>
      <c r="B27" s="2" t="s">
        <v>767</v>
      </c>
      <c r="C27" s="4">
        <v>1</v>
      </c>
      <c r="D27" s="6">
        <v>9.93</v>
      </c>
      <c r="E27" s="6">
        <v>9.93</v>
      </c>
      <c r="F27" s="9">
        <v>24.99</v>
      </c>
      <c r="G27" s="6">
        <v>24.99</v>
      </c>
      <c r="H27" s="4" t="s">
        <v>768</v>
      </c>
      <c r="I27" s="2" t="s">
        <v>2017</v>
      </c>
      <c r="J27" s="10"/>
      <c r="K27" s="6"/>
      <c r="L27" s="6"/>
      <c r="M27" s="2" t="s">
        <v>1970</v>
      </c>
      <c r="N27" s="2" t="s">
        <v>2012</v>
      </c>
      <c r="O27" s="2" t="s">
        <v>1987</v>
      </c>
      <c r="P27" s="2" t="s">
        <v>1988</v>
      </c>
      <c r="Q27" s="2" t="s">
        <v>2310</v>
      </c>
      <c r="R27" s="11" t="str">
        <f>HYPERLINK("http://slimages.macys.com/is/image/MCY/9536190 ")</f>
        <v xml:space="preserve">http://slimages.macys.com/is/image/MCY/9536190 </v>
      </c>
    </row>
    <row r="28" spans="1:18" ht="24.75" x14ac:dyDescent="0.25">
      <c r="A28" s="8" t="s">
        <v>769</v>
      </c>
      <c r="B28" s="2" t="s">
        <v>770</v>
      </c>
      <c r="C28" s="4">
        <v>1</v>
      </c>
      <c r="D28" s="6">
        <v>9.93</v>
      </c>
      <c r="E28" s="6">
        <v>9.93</v>
      </c>
      <c r="F28" s="9">
        <v>24.99</v>
      </c>
      <c r="G28" s="6">
        <v>24.99</v>
      </c>
      <c r="H28" s="4" t="s">
        <v>771</v>
      </c>
      <c r="I28" s="2" t="s">
        <v>2017</v>
      </c>
      <c r="J28" s="10"/>
      <c r="K28" s="6"/>
      <c r="L28" s="6"/>
      <c r="M28" s="2" t="s">
        <v>1970</v>
      </c>
      <c r="N28" s="2" t="s">
        <v>2012</v>
      </c>
      <c r="O28" s="2" t="s">
        <v>1987</v>
      </c>
      <c r="P28" s="2" t="s">
        <v>1988</v>
      </c>
      <c r="Q28" s="2" t="s">
        <v>2310</v>
      </c>
      <c r="R28" s="11" t="str">
        <f>HYPERLINK("http://slimages.macys.com/is/image/MCY/9536190 ")</f>
        <v xml:space="preserve">http://slimages.macys.com/is/image/MCY/9536190 </v>
      </c>
    </row>
    <row r="29" spans="1:18" ht="24.75" x14ac:dyDescent="0.25">
      <c r="A29" s="8" t="s">
        <v>772</v>
      </c>
      <c r="B29" s="2" t="s">
        <v>773</v>
      </c>
      <c r="C29" s="4">
        <v>1</v>
      </c>
      <c r="D29" s="6">
        <v>10.94</v>
      </c>
      <c r="E29" s="6">
        <v>10.94</v>
      </c>
      <c r="F29" s="9">
        <v>39.99</v>
      </c>
      <c r="G29" s="6">
        <v>39.99</v>
      </c>
      <c r="H29" s="4">
        <v>130101</v>
      </c>
      <c r="I29" s="2" t="s">
        <v>2683</v>
      </c>
      <c r="J29" s="10" t="s">
        <v>1139</v>
      </c>
      <c r="K29" s="6"/>
      <c r="L29" s="6"/>
      <c r="M29" s="2" t="s">
        <v>1970</v>
      </c>
      <c r="N29" s="2" t="s">
        <v>2027</v>
      </c>
      <c r="O29" s="2" t="s">
        <v>1000</v>
      </c>
      <c r="P29" s="2" t="s">
        <v>1988</v>
      </c>
      <c r="Q29" s="2" t="s">
        <v>1995</v>
      </c>
      <c r="R29" s="11" t="str">
        <f>HYPERLINK("http://slimages.macys.com/is/image/MCY/3895749 ")</f>
        <v xml:space="preserve">http://slimages.macys.com/is/image/MCY/3895749 </v>
      </c>
    </row>
    <row r="30" spans="1:18" ht="24.75" x14ac:dyDescent="0.25">
      <c r="A30" s="8" t="s">
        <v>774</v>
      </c>
      <c r="B30" s="2" t="s">
        <v>775</v>
      </c>
      <c r="C30" s="4">
        <v>1</v>
      </c>
      <c r="D30" s="6">
        <v>8.41</v>
      </c>
      <c r="E30" s="6">
        <v>8.41</v>
      </c>
      <c r="F30" s="9">
        <v>24.99</v>
      </c>
      <c r="G30" s="6">
        <v>24.99</v>
      </c>
      <c r="H30" s="4">
        <v>62033</v>
      </c>
      <c r="I30" s="2"/>
      <c r="J30" s="10"/>
      <c r="K30" s="6"/>
      <c r="L30" s="6"/>
      <c r="M30" s="2" t="s">
        <v>1970</v>
      </c>
      <c r="N30" s="2" t="s">
        <v>2184</v>
      </c>
      <c r="O30" s="2" t="s">
        <v>374</v>
      </c>
      <c r="P30" s="2" t="s">
        <v>1988</v>
      </c>
      <c r="Q30" s="2"/>
      <c r="R30" s="11" t="str">
        <f>HYPERLINK("http://slimages.macys.com/is/image/MCY/9288935 ")</f>
        <v xml:space="preserve">http://slimages.macys.com/is/image/MCY/9288935 </v>
      </c>
    </row>
    <row r="31" spans="1:18" ht="24.75" x14ac:dyDescent="0.25">
      <c r="A31" s="8" t="s">
        <v>776</v>
      </c>
      <c r="B31" s="2" t="s">
        <v>777</v>
      </c>
      <c r="C31" s="4">
        <v>2</v>
      </c>
      <c r="D31" s="6">
        <v>8.1999999999999993</v>
      </c>
      <c r="E31" s="6">
        <v>16.399999999999999</v>
      </c>
      <c r="F31" s="9">
        <v>15.99</v>
      </c>
      <c r="G31" s="6">
        <v>31.98</v>
      </c>
      <c r="H31" s="4">
        <v>37354</v>
      </c>
      <c r="I31" s="2" t="s">
        <v>2026</v>
      </c>
      <c r="J31" s="10"/>
      <c r="K31" s="6"/>
      <c r="L31" s="6"/>
      <c r="M31" s="2" t="s">
        <v>1970</v>
      </c>
      <c r="N31" s="2" t="s">
        <v>2012</v>
      </c>
      <c r="O31" s="2" t="s">
        <v>2203</v>
      </c>
      <c r="P31" s="2" t="s">
        <v>1988</v>
      </c>
      <c r="Q31" s="2" t="s">
        <v>1995</v>
      </c>
      <c r="R31" s="11" t="str">
        <f>HYPERLINK("http://slimages.macys.com/is/image/MCY/10009171 ")</f>
        <v xml:space="preserve">http://slimages.macys.com/is/image/MCY/10009171 </v>
      </c>
    </row>
    <row r="32" spans="1:18" ht="24.75" x14ac:dyDescent="0.25">
      <c r="A32" s="8" t="s">
        <v>778</v>
      </c>
      <c r="B32" s="2" t="s">
        <v>779</v>
      </c>
      <c r="C32" s="4">
        <v>1</v>
      </c>
      <c r="D32" s="6">
        <v>7.27</v>
      </c>
      <c r="E32" s="6">
        <v>7.27</v>
      </c>
      <c r="F32" s="9">
        <v>19.989999999999998</v>
      </c>
      <c r="G32" s="6">
        <v>19.989999999999998</v>
      </c>
      <c r="H32" s="4" t="s">
        <v>780</v>
      </c>
      <c r="I32" s="2" t="s">
        <v>1993</v>
      </c>
      <c r="J32" s="10"/>
      <c r="K32" s="6"/>
      <c r="L32" s="6"/>
      <c r="M32" s="2" t="s">
        <v>1970</v>
      </c>
      <c r="N32" s="2" t="s">
        <v>2184</v>
      </c>
      <c r="O32" s="2" t="s">
        <v>1987</v>
      </c>
      <c r="P32" s="2" t="s">
        <v>1988</v>
      </c>
      <c r="Q32" s="2" t="s">
        <v>2185</v>
      </c>
      <c r="R32" s="11" t="str">
        <f>HYPERLINK("http://slimages.macys.com/is/image/MCY/10044251 ")</f>
        <v xml:space="preserve">http://slimages.macys.com/is/image/MCY/10044251 </v>
      </c>
    </row>
    <row r="33" spans="1:18" ht="24.75" x14ac:dyDescent="0.25">
      <c r="A33" s="8" t="s">
        <v>781</v>
      </c>
      <c r="B33" s="2" t="s">
        <v>782</v>
      </c>
      <c r="C33" s="4">
        <v>1</v>
      </c>
      <c r="D33" s="6">
        <v>7.25</v>
      </c>
      <c r="E33" s="6">
        <v>7.25</v>
      </c>
      <c r="F33" s="9">
        <v>14.99</v>
      </c>
      <c r="G33" s="6">
        <v>14.99</v>
      </c>
      <c r="H33" s="4" t="s">
        <v>1420</v>
      </c>
      <c r="I33" s="2" t="s">
        <v>1421</v>
      </c>
      <c r="J33" s="10"/>
      <c r="K33" s="6"/>
      <c r="L33" s="6"/>
      <c r="M33" s="2" t="s">
        <v>1970</v>
      </c>
      <c r="N33" s="2" t="s">
        <v>2012</v>
      </c>
      <c r="O33" s="2" t="s">
        <v>2203</v>
      </c>
      <c r="P33" s="2" t="s">
        <v>1988</v>
      </c>
      <c r="Q33" s="2" t="s">
        <v>1995</v>
      </c>
      <c r="R33" s="11" t="str">
        <f>HYPERLINK("http://slimages.macys.com/is/image/MCY/9058123 ")</f>
        <v xml:space="preserve">http://slimages.macys.com/is/image/MCY/9058123 </v>
      </c>
    </row>
    <row r="34" spans="1:18" ht="24.75" x14ac:dyDescent="0.25">
      <c r="A34" s="8" t="s">
        <v>783</v>
      </c>
      <c r="B34" s="2" t="s">
        <v>784</v>
      </c>
      <c r="C34" s="4">
        <v>1</v>
      </c>
      <c r="D34" s="6">
        <v>7.8</v>
      </c>
      <c r="E34" s="6">
        <v>7.8</v>
      </c>
      <c r="F34" s="9">
        <v>29.99</v>
      </c>
      <c r="G34" s="6">
        <v>29.99</v>
      </c>
      <c r="H34" s="4" t="s">
        <v>785</v>
      </c>
      <c r="I34" s="2" t="s">
        <v>2683</v>
      </c>
      <c r="J34" s="10"/>
      <c r="K34" s="6"/>
      <c r="L34" s="6"/>
      <c r="M34" s="2" t="s">
        <v>1970</v>
      </c>
      <c r="N34" s="2" t="s">
        <v>2386</v>
      </c>
      <c r="O34" s="2" t="s">
        <v>2932</v>
      </c>
      <c r="P34" s="2" t="s">
        <v>1988</v>
      </c>
      <c r="Q34" s="2" t="s">
        <v>2095</v>
      </c>
      <c r="R34" s="11" t="str">
        <f>HYPERLINK("http://slimages.macys.com/is/image/MCY/10047968 ")</f>
        <v xml:space="preserve">http://slimages.macys.com/is/image/MCY/10047968 </v>
      </c>
    </row>
    <row r="35" spans="1:18" ht="24.75" x14ac:dyDescent="0.25">
      <c r="A35" s="8" t="s">
        <v>786</v>
      </c>
      <c r="B35" s="2" t="s">
        <v>787</v>
      </c>
      <c r="C35" s="4">
        <v>44</v>
      </c>
      <c r="D35" s="6">
        <v>7.64</v>
      </c>
      <c r="E35" s="6">
        <v>336.16</v>
      </c>
      <c r="F35" s="9">
        <v>39.99</v>
      </c>
      <c r="G35" s="6">
        <v>1759.56</v>
      </c>
      <c r="H35" s="4" t="s">
        <v>788</v>
      </c>
      <c r="I35" s="2" t="s">
        <v>2294</v>
      </c>
      <c r="J35" s="10"/>
      <c r="K35" s="6"/>
      <c r="L35" s="6"/>
      <c r="M35" s="2" t="s">
        <v>1970</v>
      </c>
      <c r="N35" s="2" t="s">
        <v>2167</v>
      </c>
      <c r="O35" s="2" t="s">
        <v>2443</v>
      </c>
      <c r="P35" s="2" t="s">
        <v>1988</v>
      </c>
      <c r="Q35" s="2"/>
      <c r="R35" s="11" t="str">
        <f>HYPERLINK("http://slimages.macys.com/is/image/MCY/8458181 ")</f>
        <v xml:space="preserve">http://slimages.macys.com/is/image/MCY/8458181 </v>
      </c>
    </row>
    <row r="36" spans="1:18" ht="24.75" x14ac:dyDescent="0.25">
      <c r="A36" s="8" t="s">
        <v>789</v>
      </c>
      <c r="B36" s="2" t="s">
        <v>790</v>
      </c>
      <c r="C36" s="4">
        <v>1</v>
      </c>
      <c r="D36" s="6">
        <v>6.38</v>
      </c>
      <c r="E36" s="6">
        <v>6.38</v>
      </c>
      <c r="F36" s="9">
        <v>13.99</v>
      </c>
      <c r="G36" s="6">
        <v>13.99</v>
      </c>
      <c r="H36" s="4" t="s">
        <v>791</v>
      </c>
      <c r="I36" s="2" t="s">
        <v>2106</v>
      </c>
      <c r="J36" s="10"/>
      <c r="K36" s="6"/>
      <c r="L36" s="6"/>
      <c r="M36" s="2" t="s">
        <v>1970</v>
      </c>
      <c r="N36" s="2" t="s">
        <v>991</v>
      </c>
      <c r="O36" s="2" t="s">
        <v>1773</v>
      </c>
      <c r="P36" s="2" t="s">
        <v>1988</v>
      </c>
      <c r="Q36" s="2"/>
      <c r="R36" s="11" t="str">
        <f>HYPERLINK("http://slimages.macys.com/is/image/MCY/2779107 ")</f>
        <v xml:space="preserve">http://slimages.macys.com/is/image/MCY/2779107 </v>
      </c>
    </row>
    <row r="37" spans="1:18" ht="24.75" x14ac:dyDescent="0.25">
      <c r="A37" s="8" t="s">
        <v>792</v>
      </c>
      <c r="B37" s="2" t="s">
        <v>793</v>
      </c>
      <c r="C37" s="4">
        <v>1</v>
      </c>
      <c r="D37" s="6">
        <v>4.7300000000000004</v>
      </c>
      <c r="E37" s="6">
        <v>4.7300000000000004</v>
      </c>
      <c r="F37" s="9">
        <v>11.49</v>
      </c>
      <c r="G37" s="6">
        <v>11.49</v>
      </c>
      <c r="H37" s="4" t="s">
        <v>794</v>
      </c>
      <c r="I37" s="2" t="s">
        <v>2026</v>
      </c>
      <c r="J37" s="10" t="s">
        <v>2037</v>
      </c>
      <c r="K37" s="6"/>
      <c r="L37" s="6"/>
      <c r="M37" s="2" t="s">
        <v>1970</v>
      </c>
      <c r="N37" s="2" t="s">
        <v>2005</v>
      </c>
      <c r="O37" s="2" t="s">
        <v>1335</v>
      </c>
      <c r="P37" s="2"/>
      <c r="Q37" s="2"/>
      <c r="R37" s="11"/>
    </row>
    <row r="38" spans="1:18" ht="24.75" x14ac:dyDescent="0.25">
      <c r="A38" s="8" t="s">
        <v>795</v>
      </c>
      <c r="B38" s="2" t="s">
        <v>796</v>
      </c>
      <c r="C38" s="4">
        <v>1</v>
      </c>
      <c r="D38" s="6">
        <v>3.7</v>
      </c>
      <c r="E38" s="6">
        <v>3.7</v>
      </c>
      <c r="F38" s="9">
        <v>9.99</v>
      </c>
      <c r="G38" s="6">
        <v>9.99</v>
      </c>
      <c r="H38" s="4" t="s">
        <v>797</v>
      </c>
      <c r="I38" s="2" t="s">
        <v>2026</v>
      </c>
      <c r="J38" s="10"/>
      <c r="K38" s="6"/>
      <c r="L38" s="6"/>
      <c r="M38" s="2" t="s">
        <v>1970</v>
      </c>
      <c r="N38" s="2" t="s">
        <v>2005</v>
      </c>
      <c r="O38" s="2" t="s">
        <v>798</v>
      </c>
      <c r="P38" s="2"/>
      <c r="Q38" s="2"/>
      <c r="R38" s="11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28"/>
  <sheetViews>
    <sheetView topLeftCell="A16" workbookViewId="0">
      <selection activeCell="B50" sqref="B50"/>
    </sheetView>
  </sheetViews>
  <sheetFormatPr defaultRowHeight="15" x14ac:dyDescent="0.25"/>
  <cols>
    <col min="1" max="1" width="14.28515625" customWidth="1"/>
    <col min="2" max="2" width="50.8554687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2103</v>
      </c>
      <c r="B2" s="2" t="s">
        <v>2104</v>
      </c>
      <c r="C2" s="4">
        <v>2</v>
      </c>
      <c r="D2" s="6">
        <v>78.7</v>
      </c>
      <c r="E2" s="6">
        <v>157.4</v>
      </c>
      <c r="F2" s="9">
        <v>230.99</v>
      </c>
      <c r="G2" s="6">
        <v>461.98</v>
      </c>
      <c r="H2" s="4" t="s">
        <v>2105</v>
      </c>
      <c r="I2" s="2" t="s">
        <v>2106</v>
      </c>
      <c r="J2" s="10" t="s">
        <v>2107</v>
      </c>
      <c r="K2" s="6"/>
      <c r="L2" s="6"/>
      <c r="M2" s="2" t="s">
        <v>1970</v>
      </c>
      <c r="N2" s="2" t="s">
        <v>2012</v>
      </c>
      <c r="O2" s="2" t="s">
        <v>2108</v>
      </c>
      <c r="P2" s="2" t="s">
        <v>1988</v>
      </c>
      <c r="Q2" s="2" t="s">
        <v>2063</v>
      </c>
      <c r="R2" s="11" t="str">
        <f>HYPERLINK("http://slimages.macys.com/is/image/MCY/13418043 ")</f>
        <v xml:space="preserve">http://slimages.macys.com/is/image/MCY/13418043 </v>
      </c>
    </row>
    <row r="3" spans="1:18" ht="204.75" x14ac:dyDescent="0.25">
      <c r="A3" s="8" t="s">
        <v>2109</v>
      </c>
      <c r="B3" s="2" t="s">
        <v>2110</v>
      </c>
      <c r="C3" s="4">
        <v>1</v>
      </c>
      <c r="D3" s="6">
        <v>90.41</v>
      </c>
      <c r="E3" s="6">
        <v>90.41</v>
      </c>
      <c r="F3" s="9">
        <v>244.99</v>
      </c>
      <c r="G3" s="6">
        <v>244.99</v>
      </c>
      <c r="H3" s="4" t="s">
        <v>2111</v>
      </c>
      <c r="I3" s="2" t="s">
        <v>2077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2112</v>
      </c>
      <c r="R3" s="11" t="str">
        <f>HYPERLINK("http://slimages.macys.com/is/image/MCY/9566737 ")</f>
        <v xml:space="preserve">http://slimages.macys.com/is/image/MCY/9566737 </v>
      </c>
    </row>
    <row r="4" spans="1:18" ht="192.75" x14ac:dyDescent="0.25">
      <c r="A4" s="8" t="s">
        <v>2113</v>
      </c>
      <c r="B4" s="2" t="s">
        <v>2114</v>
      </c>
      <c r="C4" s="4">
        <v>1</v>
      </c>
      <c r="D4" s="6">
        <v>73.77</v>
      </c>
      <c r="E4" s="6">
        <v>73.77</v>
      </c>
      <c r="F4" s="9">
        <v>264.99</v>
      </c>
      <c r="G4" s="6">
        <v>264.99</v>
      </c>
      <c r="H4" s="4" t="s">
        <v>2115</v>
      </c>
      <c r="I4" s="2" t="s">
        <v>2057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2116</v>
      </c>
      <c r="R4" s="11" t="str">
        <f>HYPERLINK("http://slimages.macys.com/is/image/MCY/12493383 ")</f>
        <v xml:space="preserve">http://slimages.macys.com/is/image/MCY/12493383 </v>
      </c>
    </row>
    <row r="5" spans="1:18" ht="24.75" x14ac:dyDescent="0.25">
      <c r="A5" s="8" t="s">
        <v>2117</v>
      </c>
      <c r="B5" s="2" t="s">
        <v>2118</v>
      </c>
      <c r="C5" s="4">
        <v>1</v>
      </c>
      <c r="D5" s="6">
        <v>66.3</v>
      </c>
      <c r="E5" s="6">
        <v>66.3</v>
      </c>
      <c r="F5" s="9">
        <v>159.99</v>
      </c>
      <c r="G5" s="6">
        <v>159.99</v>
      </c>
      <c r="H5" s="4" t="s">
        <v>2119</v>
      </c>
      <c r="I5" s="2" t="s">
        <v>2120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/>
      <c r="R5" s="11" t="str">
        <f>HYPERLINK("http://slimages.macys.com/is/image/MCY/8930125 ")</f>
        <v xml:space="preserve">http://slimages.macys.com/is/image/MCY/8930125 </v>
      </c>
    </row>
    <row r="6" spans="1:18" ht="144.75" x14ac:dyDescent="0.25">
      <c r="A6" s="8" t="s">
        <v>2121</v>
      </c>
      <c r="B6" s="2" t="s">
        <v>2122</v>
      </c>
      <c r="C6" s="4">
        <v>1</v>
      </c>
      <c r="D6" s="6">
        <v>65.09</v>
      </c>
      <c r="E6" s="6">
        <v>65.09</v>
      </c>
      <c r="F6" s="9">
        <v>179.99</v>
      </c>
      <c r="G6" s="6">
        <v>179.99</v>
      </c>
      <c r="H6" s="4" t="s">
        <v>2123</v>
      </c>
      <c r="I6" s="2" t="s">
        <v>1993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2124</v>
      </c>
      <c r="R6" s="11" t="str">
        <f>HYPERLINK("http://slimages.macys.com/is/image/MCY/9627781 ")</f>
        <v xml:space="preserve">http://slimages.macys.com/is/image/MCY/9627781 </v>
      </c>
    </row>
    <row r="7" spans="1:18" ht="144.75" x14ac:dyDescent="0.25">
      <c r="A7" s="8" t="s">
        <v>2125</v>
      </c>
      <c r="B7" s="2" t="s">
        <v>2126</v>
      </c>
      <c r="C7" s="4">
        <v>1</v>
      </c>
      <c r="D7" s="6">
        <v>63.29</v>
      </c>
      <c r="E7" s="6">
        <v>63.29</v>
      </c>
      <c r="F7" s="9">
        <v>169.99</v>
      </c>
      <c r="G7" s="6">
        <v>169.99</v>
      </c>
      <c r="H7" s="4" t="s">
        <v>2127</v>
      </c>
      <c r="I7" s="2" t="s">
        <v>2048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2124</v>
      </c>
      <c r="R7" s="11" t="str">
        <f>HYPERLINK("http://slimages.macys.com/is/image/MCY/9627880 ")</f>
        <v xml:space="preserve">http://slimages.macys.com/is/image/MCY/9627880 </v>
      </c>
    </row>
    <row r="8" spans="1:18" ht="36.75" x14ac:dyDescent="0.25">
      <c r="A8" s="8" t="s">
        <v>2128</v>
      </c>
      <c r="B8" s="2" t="s">
        <v>2129</v>
      </c>
      <c r="C8" s="4">
        <v>1</v>
      </c>
      <c r="D8" s="6">
        <v>55</v>
      </c>
      <c r="E8" s="6">
        <v>55</v>
      </c>
      <c r="F8" s="9">
        <v>161.99</v>
      </c>
      <c r="G8" s="6">
        <v>161.99</v>
      </c>
      <c r="H8" s="4" t="s">
        <v>2130</v>
      </c>
      <c r="I8" s="2" t="s">
        <v>2026</v>
      </c>
      <c r="J8" s="10"/>
      <c r="K8" s="6"/>
      <c r="L8" s="6"/>
      <c r="M8" s="2" t="s">
        <v>1970</v>
      </c>
      <c r="N8" s="2" t="s">
        <v>1986</v>
      </c>
      <c r="O8" s="2" t="s">
        <v>2131</v>
      </c>
      <c r="P8" s="2" t="s">
        <v>1988</v>
      </c>
      <c r="Q8" s="2" t="s">
        <v>2132</v>
      </c>
      <c r="R8" s="11" t="str">
        <f>HYPERLINK("http://slimages.macys.com/is/image/MCY/14329825 ")</f>
        <v xml:space="preserve">http://slimages.macys.com/is/image/MCY/14329825 </v>
      </c>
    </row>
    <row r="9" spans="1:18" ht="24.75" x14ac:dyDescent="0.25">
      <c r="A9" s="8" t="s">
        <v>2133</v>
      </c>
      <c r="B9" s="2" t="s">
        <v>2134</v>
      </c>
      <c r="C9" s="4">
        <v>1</v>
      </c>
      <c r="D9" s="6">
        <v>54.55</v>
      </c>
      <c r="E9" s="6">
        <v>54.55</v>
      </c>
      <c r="F9" s="9">
        <v>134.99</v>
      </c>
      <c r="G9" s="6">
        <v>134.99</v>
      </c>
      <c r="H9" s="4" t="s">
        <v>2135</v>
      </c>
      <c r="I9" s="2"/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2136</v>
      </c>
      <c r="R9" s="11" t="str">
        <f>HYPERLINK("http://slimages.macys.com/is/image/MCY/8932066 ")</f>
        <v xml:space="preserve">http://slimages.macys.com/is/image/MCY/8932066 </v>
      </c>
    </row>
    <row r="10" spans="1:18" ht="48.75" x14ac:dyDescent="0.25">
      <c r="A10" s="8" t="s">
        <v>2137</v>
      </c>
      <c r="B10" s="2" t="s">
        <v>2138</v>
      </c>
      <c r="C10" s="4">
        <v>1</v>
      </c>
      <c r="D10" s="6">
        <v>42.87</v>
      </c>
      <c r="E10" s="6">
        <v>42.87</v>
      </c>
      <c r="F10" s="9">
        <v>95.99</v>
      </c>
      <c r="G10" s="6">
        <v>95.99</v>
      </c>
      <c r="H10" s="4" t="s">
        <v>2139</v>
      </c>
      <c r="I10" s="2" t="s">
        <v>2071</v>
      </c>
      <c r="J10" s="10"/>
      <c r="K10" s="6"/>
      <c r="L10" s="6"/>
      <c r="M10" s="2" t="s">
        <v>1970</v>
      </c>
      <c r="N10" s="2" t="s">
        <v>2012</v>
      </c>
      <c r="O10" s="2" t="s">
        <v>1987</v>
      </c>
      <c r="P10" s="2" t="s">
        <v>1988</v>
      </c>
      <c r="Q10" s="2" t="s">
        <v>2140</v>
      </c>
      <c r="R10" s="11" t="str">
        <f>HYPERLINK("http://slimages.macys.com/is/image/MCY/9798710 ")</f>
        <v xml:space="preserve">http://slimages.macys.com/is/image/MCY/9798710 </v>
      </c>
    </row>
    <row r="11" spans="1:18" ht="24.75" x14ac:dyDescent="0.25">
      <c r="A11" s="8" t="s">
        <v>2141</v>
      </c>
      <c r="B11" s="2" t="s">
        <v>2142</v>
      </c>
      <c r="C11" s="4">
        <v>1</v>
      </c>
      <c r="D11" s="6">
        <v>44</v>
      </c>
      <c r="E11" s="6">
        <v>44</v>
      </c>
      <c r="F11" s="9">
        <v>128.99</v>
      </c>
      <c r="G11" s="6">
        <v>128.99</v>
      </c>
      <c r="H11" s="4" t="s">
        <v>2143</v>
      </c>
      <c r="I11" s="2" t="s">
        <v>2144</v>
      </c>
      <c r="J11" s="10" t="s">
        <v>2145</v>
      </c>
      <c r="K11" s="6"/>
      <c r="L11" s="6"/>
      <c r="M11" s="2" t="s">
        <v>1970</v>
      </c>
      <c r="N11" s="2" t="s">
        <v>1986</v>
      </c>
      <c r="O11" s="2" t="s">
        <v>2146</v>
      </c>
      <c r="P11" s="2" t="s">
        <v>1988</v>
      </c>
      <c r="Q11" s="2" t="s">
        <v>1995</v>
      </c>
      <c r="R11" s="11" t="str">
        <f>HYPERLINK("http://slimages.macys.com/is/image/MCY/14477361 ")</f>
        <v xml:space="preserve">http://slimages.macys.com/is/image/MCY/14477361 </v>
      </c>
    </row>
    <row r="12" spans="1:18" ht="72.75" x14ac:dyDescent="0.25">
      <c r="A12" s="8" t="s">
        <v>2147</v>
      </c>
      <c r="B12" s="2" t="s">
        <v>2148</v>
      </c>
      <c r="C12" s="4">
        <v>1</v>
      </c>
      <c r="D12" s="6">
        <v>34.729999999999997</v>
      </c>
      <c r="E12" s="6">
        <v>34.729999999999997</v>
      </c>
      <c r="F12" s="9">
        <v>77.989999999999995</v>
      </c>
      <c r="G12" s="6">
        <v>77.989999999999995</v>
      </c>
      <c r="H12" s="4" t="s">
        <v>2149</v>
      </c>
      <c r="I12" s="2" t="s">
        <v>1985</v>
      </c>
      <c r="J12" s="10"/>
      <c r="K12" s="6"/>
      <c r="L12" s="6"/>
      <c r="M12" s="2" t="s">
        <v>1970</v>
      </c>
      <c r="N12" s="2" t="s">
        <v>2012</v>
      </c>
      <c r="O12" s="2" t="s">
        <v>1987</v>
      </c>
      <c r="P12" s="2" t="s">
        <v>1988</v>
      </c>
      <c r="Q12" s="2" t="s">
        <v>2150</v>
      </c>
      <c r="R12" s="11" t="str">
        <f>HYPERLINK("http://slimages.macys.com/is/image/MCY/12291966 ")</f>
        <v xml:space="preserve">http://slimages.macys.com/is/image/MCY/12291966 </v>
      </c>
    </row>
    <row r="13" spans="1:18" ht="48.75" x14ac:dyDescent="0.25">
      <c r="A13" s="8" t="s">
        <v>2151</v>
      </c>
      <c r="B13" s="2" t="s">
        <v>2152</v>
      </c>
      <c r="C13" s="4">
        <v>1</v>
      </c>
      <c r="D13" s="6">
        <v>39.049999999999997</v>
      </c>
      <c r="E13" s="6">
        <v>39.049999999999997</v>
      </c>
      <c r="F13" s="9">
        <v>99.99</v>
      </c>
      <c r="G13" s="6">
        <v>99.99</v>
      </c>
      <c r="H13" s="4" t="s">
        <v>2153</v>
      </c>
      <c r="I13" s="2" t="s">
        <v>1993</v>
      </c>
      <c r="J13" s="10"/>
      <c r="K13" s="6"/>
      <c r="L13" s="6"/>
      <c r="M13" s="2" t="s">
        <v>1970</v>
      </c>
      <c r="N13" s="2" t="s">
        <v>1986</v>
      </c>
      <c r="O13" s="2" t="s">
        <v>1987</v>
      </c>
      <c r="P13" s="2" t="s">
        <v>1988</v>
      </c>
      <c r="Q13" s="2" t="s">
        <v>2154</v>
      </c>
      <c r="R13" s="11" t="str">
        <f>HYPERLINK("http://slimages.macys.com/is/image/MCY/9433639 ")</f>
        <v xml:space="preserve">http://slimages.macys.com/is/image/MCY/9433639 </v>
      </c>
    </row>
    <row r="14" spans="1:18" ht="84.75" x14ac:dyDescent="0.25">
      <c r="A14" s="8" t="s">
        <v>2155</v>
      </c>
      <c r="B14" s="2" t="s">
        <v>2156</v>
      </c>
      <c r="C14" s="4">
        <v>1</v>
      </c>
      <c r="D14" s="6">
        <v>31.82</v>
      </c>
      <c r="E14" s="6">
        <v>31.82</v>
      </c>
      <c r="F14" s="9">
        <v>84.99</v>
      </c>
      <c r="G14" s="6">
        <v>84.99</v>
      </c>
      <c r="H14" s="4" t="s">
        <v>2157</v>
      </c>
      <c r="I14" s="2" t="s">
        <v>1993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2158</v>
      </c>
      <c r="R14" s="11" t="str">
        <f>HYPERLINK("http://slimages.macys.com/is/image/MCY/9484745 ")</f>
        <v xml:space="preserve">http://slimages.macys.com/is/image/MCY/9484745 </v>
      </c>
    </row>
    <row r="15" spans="1:18" ht="24.75" x14ac:dyDescent="0.25">
      <c r="A15" s="8" t="s">
        <v>2159</v>
      </c>
      <c r="B15" s="2" t="s">
        <v>2160</v>
      </c>
      <c r="C15" s="4">
        <v>1</v>
      </c>
      <c r="D15" s="6">
        <v>22.46</v>
      </c>
      <c r="E15" s="6">
        <v>22.46</v>
      </c>
      <c r="F15" s="9">
        <v>54.99</v>
      </c>
      <c r="G15" s="6">
        <v>54.99</v>
      </c>
      <c r="H15" s="4" t="s">
        <v>2161</v>
      </c>
      <c r="I15" s="2" t="s">
        <v>2162</v>
      </c>
      <c r="J15" s="10"/>
      <c r="K15" s="6"/>
      <c r="L15" s="6"/>
      <c r="M15" s="2" t="s">
        <v>1970</v>
      </c>
      <c r="N15" s="2" t="s">
        <v>2012</v>
      </c>
      <c r="O15" s="2" t="s">
        <v>1987</v>
      </c>
      <c r="P15" s="2" t="s">
        <v>1988</v>
      </c>
      <c r="Q15" s="2" t="s">
        <v>2163</v>
      </c>
      <c r="R15" s="11" t="str">
        <f>HYPERLINK("http://slimages.macys.com/is/image/MCY/10981557 ")</f>
        <v xml:space="preserve">http://slimages.macys.com/is/image/MCY/10981557 </v>
      </c>
    </row>
    <row r="16" spans="1:18" ht="24.75" x14ac:dyDescent="0.25">
      <c r="A16" s="8" t="s">
        <v>2164</v>
      </c>
      <c r="B16" s="2" t="s">
        <v>2165</v>
      </c>
      <c r="C16" s="4">
        <v>1</v>
      </c>
      <c r="D16" s="6">
        <v>24.94</v>
      </c>
      <c r="E16" s="6">
        <v>24.94</v>
      </c>
      <c r="F16" s="9">
        <v>59.99</v>
      </c>
      <c r="G16" s="6">
        <v>59.99</v>
      </c>
      <c r="H16" s="4" t="s">
        <v>2166</v>
      </c>
      <c r="I16" s="2" t="s">
        <v>2071</v>
      </c>
      <c r="J16" s="10"/>
      <c r="K16" s="6"/>
      <c r="L16" s="6"/>
      <c r="M16" s="2" t="s">
        <v>1970</v>
      </c>
      <c r="N16" s="2" t="s">
        <v>2167</v>
      </c>
      <c r="O16" s="2" t="s">
        <v>2168</v>
      </c>
      <c r="P16" s="2" t="s">
        <v>1988</v>
      </c>
      <c r="Q16" s="2"/>
      <c r="R16" s="11" t="str">
        <f>HYPERLINK("http://slimages.macys.com/is/image/MCY/9408132 ")</f>
        <v xml:space="preserve">http://slimages.macys.com/is/image/MCY/9408132 </v>
      </c>
    </row>
    <row r="17" spans="1:18" ht="24.75" x14ac:dyDescent="0.25">
      <c r="A17" s="8" t="s">
        <v>2169</v>
      </c>
      <c r="B17" s="2" t="s">
        <v>2170</v>
      </c>
      <c r="C17" s="4">
        <v>1</v>
      </c>
      <c r="D17" s="6">
        <v>17.100000000000001</v>
      </c>
      <c r="E17" s="6">
        <v>17.100000000000001</v>
      </c>
      <c r="F17" s="9">
        <v>64.989999999999995</v>
      </c>
      <c r="G17" s="6">
        <v>64.989999999999995</v>
      </c>
      <c r="H17" s="4">
        <v>17303</v>
      </c>
      <c r="I17" s="2" t="s">
        <v>2026</v>
      </c>
      <c r="J17" s="10"/>
      <c r="K17" s="6"/>
      <c r="L17" s="6"/>
      <c r="M17" s="2" t="s">
        <v>1970</v>
      </c>
      <c r="N17" s="2" t="s">
        <v>2005</v>
      </c>
      <c r="O17" s="2" t="s">
        <v>2098</v>
      </c>
      <c r="P17" s="2" t="s">
        <v>1988</v>
      </c>
      <c r="Q17" s="2" t="s">
        <v>1995</v>
      </c>
      <c r="R17" s="11" t="str">
        <f>HYPERLINK("http://slimages.macys.com/is/image/MCY/9850137 ")</f>
        <v xml:space="preserve">http://slimages.macys.com/is/image/MCY/9850137 </v>
      </c>
    </row>
    <row r="18" spans="1:18" ht="24.75" x14ac:dyDescent="0.25">
      <c r="A18" s="8" t="s">
        <v>2171</v>
      </c>
      <c r="B18" s="2" t="s">
        <v>2172</v>
      </c>
      <c r="C18" s="4">
        <v>2</v>
      </c>
      <c r="D18" s="6">
        <v>15.62</v>
      </c>
      <c r="E18" s="6">
        <v>31.24</v>
      </c>
      <c r="F18" s="9">
        <v>38.99</v>
      </c>
      <c r="G18" s="6">
        <v>77.98</v>
      </c>
      <c r="H18" s="4" t="s">
        <v>2173</v>
      </c>
      <c r="I18" s="2" t="s">
        <v>1993</v>
      </c>
      <c r="J18" s="10"/>
      <c r="K18" s="6"/>
      <c r="L18" s="6"/>
      <c r="M18" s="2" t="s">
        <v>1970</v>
      </c>
      <c r="N18" s="2" t="s">
        <v>2012</v>
      </c>
      <c r="O18" s="2" t="s">
        <v>1987</v>
      </c>
      <c r="P18" s="2" t="s">
        <v>1988</v>
      </c>
      <c r="Q18" s="2"/>
      <c r="R18" s="11" t="str">
        <f>HYPERLINK("http://slimages.macys.com/is/image/MCY/9310298 ")</f>
        <v xml:space="preserve">http://slimages.macys.com/is/image/MCY/9310298 </v>
      </c>
    </row>
    <row r="19" spans="1:18" ht="24.75" x14ac:dyDescent="0.25">
      <c r="A19" s="8" t="s">
        <v>2174</v>
      </c>
      <c r="B19" s="2" t="s">
        <v>2175</v>
      </c>
      <c r="C19" s="4">
        <v>2</v>
      </c>
      <c r="D19" s="6">
        <v>15.59</v>
      </c>
      <c r="E19" s="6">
        <v>31.18</v>
      </c>
      <c r="F19" s="9">
        <v>38.99</v>
      </c>
      <c r="G19" s="6">
        <v>77.98</v>
      </c>
      <c r="H19" s="4" t="s">
        <v>2176</v>
      </c>
      <c r="I19" s="2" t="s">
        <v>2177</v>
      </c>
      <c r="J19" s="10"/>
      <c r="K19" s="6"/>
      <c r="L19" s="6"/>
      <c r="M19" s="2" t="s">
        <v>1970</v>
      </c>
      <c r="N19" s="2" t="s">
        <v>2012</v>
      </c>
      <c r="O19" s="2" t="s">
        <v>1987</v>
      </c>
      <c r="P19" s="2" t="s">
        <v>1988</v>
      </c>
      <c r="Q19" s="2" t="s">
        <v>1995</v>
      </c>
      <c r="R19" s="11" t="str">
        <f>HYPERLINK("http://slimages.macys.com/is/image/MCY/8216566 ")</f>
        <v xml:space="preserve">http://slimages.macys.com/is/image/MCY/8216566 </v>
      </c>
    </row>
    <row r="20" spans="1:18" ht="24.75" x14ac:dyDescent="0.25">
      <c r="A20" s="8" t="s">
        <v>2178</v>
      </c>
      <c r="B20" s="2" t="s">
        <v>2179</v>
      </c>
      <c r="C20" s="4">
        <v>2</v>
      </c>
      <c r="D20" s="6">
        <v>15.59</v>
      </c>
      <c r="E20" s="6">
        <v>31.18</v>
      </c>
      <c r="F20" s="9">
        <v>38.99</v>
      </c>
      <c r="G20" s="6">
        <v>77.98</v>
      </c>
      <c r="H20" s="4" t="s">
        <v>2180</v>
      </c>
      <c r="I20" s="2" t="s">
        <v>2017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1995</v>
      </c>
      <c r="R20" s="11" t="str">
        <f>HYPERLINK("http://slimages.macys.com/is/image/MCY/8216566 ")</f>
        <v xml:space="preserve">http://slimages.macys.com/is/image/MCY/8216566 </v>
      </c>
    </row>
    <row r="21" spans="1:18" ht="24.75" x14ac:dyDescent="0.25">
      <c r="A21" s="8" t="s">
        <v>2181</v>
      </c>
      <c r="B21" s="2" t="s">
        <v>2182</v>
      </c>
      <c r="C21" s="4">
        <v>2</v>
      </c>
      <c r="D21" s="6">
        <v>10.91</v>
      </c>
      <c r="E21" s="6">
        <v>21.82</v>
      </c>
      <c r="F21" s="9">
        <v>29.99</v>
      </c>
      <c r="G21" s="6">
        <v>59.98</v>
      </c>
      <c r="H21" s="4" t="s">
        <v>2183</v>
      </c>
      <c r="I21" s="2" t="s">
        <v>2162</v>
      </c>
      <c r="J21" s="10"/>
      <c r="K21" s="6"/>
      <c r="L21" s="6"/>
      <c r="M21" s="2" t="s">
        <v>1970</v>
      </c>
      <c r="N21" s="2" t="s">
        <v>2184</v>
      </c>
      <c r="O21" s="2" t="s">
        <v>1987</v>
      </c>
      <c r="P21" s="2" t="s">
        <v>1988</v>
      </c>
      <c r="Q21" s="2" t="s">
        <v>2185</v>
      </c>
      <c r="R21" s="11" t="str">
        <f>HYPERLINK("http://slimages.macys.com/is/image/MCY/10044237 ")</f>
        <v xml:space="preserve">http://slimages.macys.com/is/image/MCY/10044237 </v>
      </c>
    </row>
    <row r="22" spans="1:18" ht="24.75" x14ac:dyDescent="0.25">
      <c r="A22" s="8" t="s">
        <v>2186</v>
      </c>
      <c r="B22" s="2" t="s">
        <v>2187</v>
      </c>
      <c r="C22" s="4">
        <v>1</v>
      </c>
      <c r="D22" s="6">
        <v>11.16</v>
      </c>
      <c r="E22" s="6">
        <v>11.16</v>
      </c>
      <c r="F22" s="9">
        <v>27.99</v>
      </c>
      <c r="G22" s="6">
        <v>27.99</v>
      </c>
      <c r="H22" s="4" t="s">
        <v>2188</v>
      </c>
      <c r="I22" s="2" t="s">
        <v>2189</v>
      </c>
      <c r="J22" s="10"/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 t="s">
        <v>1995</v>
      </c>
      <c r="R22" s="11" t="str">
        <f>HYPERLINK("http://slimages.macys.com/is/image/MCY/9534655 ")</f>
        <v xml:space="preserve">http://slimages.macys.com/is/image/MCY/9534655 </v>
      </c>
    </row>
    <row r="23" spans="1:18" ht="24.75" x14ac:dyDescent="0.25">
      <c r="A23" s="8" t="s">
        <v>2190</v>
      </c>
      <c r="B23" s="2" t="s">
        <v>2191</v>
      </c>
      <c r="C23" s="4">
        <v>2</v>
      </c>
      <c r="D23" s="6">
        <v>9.86</v>
      </c>
      <c r="E23" s="6">
        <v>19.72</v>
      </c>
      <c r="F23" s="9">
        <v>35.99</v>
      </c>
      <c r="G23" s="6">
        <v>71.98</v>
      </c>
      <c r="H23" s="4" t="s">
        <v>2192</v>
      </c>
      <c r="I23" s="2" t="s">
        <v>2026</v>
      </c>
      <c r="J23" s="10"/>
      <c r="K23" s="6"/>
      <c r="L23" s="6"/>
      <c r="M23" s="2" t="s">
        <v>1970</v>
      </c>
      <c r="N23" s="2" t="s">
        <v>2012</v>
      </c>
      <c r="O23" s="2" t="s">
        <v>2062</v>
      </c>
      <c r="P23" s="2" t="s">
        <v>1988</v>
      </c>
      <c r="Q23" s="2" t="s">
        <v>2063</v>
      </c>
      <c r="R23" s="11" t="str">
        <f>HYPERLINK("http://slimages.macys.com/is/image/MCY/12266201 ")</f>
        <v xml:space="preserve">http://slimages.macys.com/is/image/MCY/12266201 </v>
      </c>
    </row>
    <row r="24" spans="1:18" ht="24.75" x14ac:dyDescent="0.25">
      <c r="A24" s="8" t="s">
        <v>2193</v>
      </c>
      <c r="B24" s="2" t="s">
        <v>2194</v>
      </c>
      <c r="C24" s="4">
        <v>1</v>
      </c>
      <c r="D24" s="6">
        <v>8.8699999999999992</v>
      </c>
      <c r="E24" s="6">
        <v>8.8699999999999992</v>
      </c>
      <c r="F24" s="9">
        <v>9.99</v>
      </c>
      <c r="G24" s="6">
        <v>9.99</v>
      </c>
      <c r="H24" s="4" t="s">
        <v>2195</v>
      </c>
      <c r="I24" s="2" t="s">
        <v>1993</v>
      </c>
      <c r="J24" s="10"/>
      <c r="K24" s="6"/>
      <c r="L24" s="6"/>
      <c r="M24" s="2" t="s">
        <v>1970</v>
      </c>
      <c r="N24" s="2" t="s">
        <v>2012</v>
      </c>
      <c r="O24" s="2" t="s">
        <v>2196</v>
      </c>
      <c r="P24" s="2" t="s">
        <v>1988</v>
      </c>
      <c r="Q24" s="2"/>
      <c r="R24" s="11" t="str">
        <f>HYPERLINK("http://slimages.macys.com/is/image/MCY/15383514 ")</f>
        <v xml:space="preserve">http://slimages.macys.com/is/image/MCY/15383514 </v>
      </c>
    </row>
    <row r="25" spans="1:18" ht="24.75" x14ac:dyDescent="0.25">
      <c r="A25" s="8" t="s">
        <v>2197</v>
      </c>
      <c r="B25" s="2" t="s">
        <v>2198</v>
      </c>
      <c r="C25" s="4">
        <v>6</v>
      </c>
      <c r="D25" s="6">
        <v>7.67</v>
      </c>
      <c r="E25" s="6">
        <v>46.02</v>
      </c>
      <c r="F25" s="9">
        <v>18.989999999999998</v>
      </c>
      <c r="G25" s="6">
        <v>113.94</v>
      </c>
      <c r="H25" s="4" t="s">
        <v>2199</v>
      </c>
      <c r="I25" s="2" t="s">
        <v>2200</v>
      </c>
      <c r="J25" s="10"/>
      <c r="K25" s="6"/>
      <c r="L25" s="6"/>
      <c r="M25" s="2" t="s">
        <v>1970</v>
      </c>
      <c r="N25" s="2" t="s">
        <v>2012</v>
      </c>
      <c r="O25" s="2" t="s">
        <v>2088</v>
      </c>
      <c r="P25" s="2" t="s">
        <v>1988</v>
      </c>
      <c r="Q25" s="2" t="s">
        <v>1995</v>
      </c>
      <c r="R25" s="11" t="str">
        <f>HYPERLINK("http://slimages.macys.com/is/image/MCY/821775 ")</f>
        <v xml:space="preserve">http://slimages.macys.com/is/image/MCY/821775 </v>
      </c>
    </row>
    <row r="26" spans="1:18" ht="24.75" x14ac:dyDescent="0.25">
      <c r="A26" s="8" t="s">
        <v>2201</v>
      </c>
      <c r="B26" s="2" t="s">
        <v>2202</v>
      </c>
      <c r="C26" s="4">
        <v>2</v>
      </c>
      <c r="D26" s="6">
        <v>7</v>
      </c>
      <c r="E26" s="6">
        <v>14</v>
      </c>
      <c r="F26" s="9">
        <v>14.99</v>
      </c>
      <c r="G26" s="6">
        <v>29.98</v>
      </c>
      <c r="H26" s="4">
        <v>56302</v>
      </c>
      <c r="I26" s="2" t="s">
        <v>2057</v>
      </c>
      <c r="J26" s="10"/>
      <c r="K26" s="6"/>
      <c r="L26" s="6"/>
      <c r="M26" s="2" t="s">
        <v>1970</v>
      </c>
      <c r="N26" s="2" t="s">
        <v>2012</v>
      </c>
      <c r="O26" s="2" t="s">
        <v>2203</v>
      </c>
      <c r="P26" s="2" t="s">
        <v>1988</v>
      </c>
      <c r="Q26" s="2"/>
      <c r="R26" s="11" t="str">
        <f>HYPERLINK("http://slimages.macys.com/is/image/MCY/9644198 ")</f>
        <v xml:space="preserve">http://slimages.macys.com/is/image/MCY/9644198 </v>
      </c>
    </row>
    <row r="27" spans="1:18" ht="24.75" x14ac:dyDescent="0.25">
      <c r="A27" s="8" t="s">
        <v>2204</v>
      </c>
      <c r="B27" s="2" t="s">
        <v>2205</v>
      </c>
      <c r="C27" s="4">
        <v>1</v>
      </c>
      <c r="D27" s="6">
        <v>6.7</v>
      </c>
      <c r="E27" s="6">
        <v>6.7</v>
      </c>
      <c r="F27" s="9">
        <v>19.989999999999998</v>
      </c>
      <c r="G27" s="6">
        <v>19.989999999999998</v>
      </c>
      <c r="H27" s="4" t="s">
        <v>2206</v>
      </c>
      <c r="I27" s="2" t="s">
        <v>2017</v>
      </c>
      <c r="J27" s="10" t="s">
        <v>2207</v>
      </c>
      <c r="K27" s="6"/>
      <c r="L27" s="6"/>
      <c r="M27" s="2" t="s">
        <v>1970</v>
      </c>
      <c r="N27" s="2" t="s">
        <v>1986</v>
      </c>
      <c r="O27" s="2" t="s">
        <v>2208</v>
      </c>
      <c r="P27" s="2" t="s">
        <v>1988</v>
      </c>
      <c r="Q27" s="2" t="s">
        <v>2209</v>
      </c>
      <c r="R27" s="11" t="str">
        <f>HYPERLINK("http://slimages.macys.com/is/image/MCY/13743085 ")</f>
        <v xml:space="preserve">http://slimages.macys.com/is/image/MCY/13743085 </v>
      </c>
    </row>
    <row r="28" spans="1:18" ht="24.75" x14ac:dyDescent="0.25">
      <c r="A28" s="8" t="s">
        <v>2210</v>
      </c>
      <c r="B28" s="2" t="s">
        <v>2211</v>
      </c>
      <c r="C28" s="4">
        <v>1</v>
      </c>
      <c r="D28" s="6">
        <v>5.74</v>
      </c>
      <c r="E28" s="6">
        <v>5.74</v>
      </c>
      <c r="F28" s="9">
        <v>20.99</v>
      </c>
      <c r="G28" s="6">
        <v>20.99</v>
      </c>
      <c r="H28" s="4" t="s">
        <v>2212</v>
      </c>
      <c r="I28" s="2" t="s">
        <v>2162</v>
      </c>
      <c r="J28" s="10"/>
      <c r="K28" s="6"/>
      <c r="L28" s="6"/>
      <c r="M28" s="2" t="s">
        <v>1970</v>
      </c>
      <c r="N28" s="2" t="s">
        <v>2012</v>
      </c>
      <c r="O28" s="2" t="s">
        <v>2062</v>
      </c>
      <c r="P28" s="2" t="s">
        <v>1988</v>
      </c>
      <c r="Q28" s="2" t="s">
        <v>2063</v>
      </c>
      <c r="R28" s="11" t="str">
        <f>HYPERLINK("http://slimages.macys.com/is/image/MCY/12241882 ")</f>
        <v xml:space="preserve">http://slimages.macys.com/is/image/MCY/12241882 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3"/>
  <sheetViews>
    <sheetView topLeftCell="A24" workbookViewId="0">
      <selection activeCell="E47" sqref="E47"/>
    </sheetView>
  </sheetViews>
  <sheetFormatPr defaultRowHeight="15" x14ac:dyDescent="0.25"/>
  <cols>
    <col min="1" max="1" width="14.28515625" customWidth="1"/>
    <col min="2" max="2" width="46.8554687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3.140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48.75" x14ac:dyDescent="0.25">
      <c r="A2" s="8" t="s">
        <v>2213</v>
      </c>
      <c r="B2" s="2" t="s">
        <v>2214</v>
      </c>
      <c r="C2" s="4">
        <v>1</v>
      </c>
      <c r="D2" s="6">
        <v>123.75</v>
      </c>
      <c r="E2" s="6">
        <v>123.75</v>
      </c>
      <c r="F2" s="9">
        <v>404.99</v>
      </c>
      <c r="G2" s="6">
        <v>404.99</v>
      </c>
      <c r="H2" s="4" t="s">
        <v>2215</v>
      </c>
      <c r="I2" s="2" t="s">
        <v>2017</v>
      </c>
      <c r="J2" s="10" t="s">
        <v>2145</v>
      </c>
      <c r="K2" s="6"/>
      <c r="L2" s="6"/>
      <c r="M2" s="2" t="s">
        <v>1970</v>
      </c>
      <c r="N2" s="2" t="s">
        <v>1986</v>
      </c>
      <c r="O2" s="2" t="s">
        <v>2216</v>
      </c>
      <c r="P2" s="2" t="s">
        <v>1988</v>
      </c>
      <c r="Q2" s="2" t="s">
        <v>2217</v>
      </c>
      <c r="R2" s="11" t="str">
        <f>HYPERLINK("http://slimages.macys.com/is/image/MCY/10784081 ")</f>
        <v xml:space="preserve">http://slimages.macys.com/is/image/MCY/10784081 </v>
      </c>
    </row>
    <row r="3" spans="1:18" ht="192.75" x14ac:dyDescent="0.25">
      <c r="A3" s="8" t="s">
        <v>2218</v>
      </c>
      <c r="B3" s="2" t="s">
        <v>2219</v>
      </c>
      <c r="C3" s="4">
        <v>1</v>
      </c>
      <c r="D3" s="6">
        <v>76.84</v>
      </c>
      <c r="E3" s="6">
        <v>76.84</v>
      </c>
      <c r="F3" s="9">
        <v>209.99</v>
      </c>
      <c r="G3" s="6">
        <v>209.99</v>
      </c>
      <c r="H3" s="4" t="s">
        <v>2220</v>
      </c>
      <c r="I3" s="2" t="s">
        <v>2017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2221</v>
      </c>
      <c r="R3" s="11" t="str">
        <f>HYPERLINK("http://slimages.macys.com/is/image/MCY/9627770 ")</f>
        <v xml:space="preserve">http://slimages.macys.com/is/image/MCY/9627770 </v>
      </c>
    </row>
    <row r="4" spans="1:18" ht="24.75" x14ac:dyDescent="0.25">
      <c r="A4" s="8" t="s">
        <v>2222</v>
      </c>
      <c r="B4" s="2" t="s">
        <v>2223</v>
      </c>
      <c r="C4" s="4">
        <v>1</v>
      </c>
      <c r="D4" s="6">
        <v>53.59</v>
      </c>
      <c r="E4" s="6">
        <v>53.59</v>
      </c>
      <c r="F4" s="9">
        <v>119.99</v>
      </c>
      <c r="G4" s="6">
        <v>119.99</v>
      </c>
      <c r="H4" s="4" t="s">
        <v>2224</v>
      </c>
      <c r="I4" s="2" t="s">
        <v>2026</v>
      </c>
      <c r="J4" s="10"/>
      <c r="K4" s="6"/>
      <c r="L4" s="6"/>
      <c r="M4" s="2" t="s">
        <v>1970</v>
      </c>
      <c r="N4" s="2" t="s">
        <v>2012</v>
      </c>
      <c r="O4" s="2" t="s">
        <v>1987</v>
      </c>
      <c r="P4" s="2" t="s">
        <v>1988</v>
      </c>
      <c r="Q4" s="2" t="s">
        <v>2225</v>
      </c>
      <c r="R4" s="11" t="str">
        <f>HYPERLINK("http://slimages.macys.com/is/image/MCY/11113709 ")</f>
        <v xml:space="preserve">http://slimages.macys.com/is/image/MCY/11113709 </v>
      </c>
    </row>
    <row r="5" spans="1:18" ht="168.75" x14ac:dyDescent="0.25">
      <c r="A5" s="8" t="s">
        <v>2226</v>
      </c>
      <c r="B5" s="2" t="s">
        <v>2227</v>
      </c>
      <c r="C5" s="4">
        <v>1</v>
      </c>
      <c r="D5" s="6">
        <v>58.02</v>
      </c>
      <c r="E5" s="6">
        <v>58.02</v>
      </c>
      <c r="F5" s="9">
        <v>208.99</v>
      </c>
      <c r="G5" s="6">
        <v>208.99</v>
      </c>
      <c r="H5" s="4" t="s">
        <v>2228</v>
      </c>
      <c r="I5" s="2" t="s">
        <v>1993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2229</v>
      </c>
      <c r="R5" s="11" t="str">
        <f>HYPERLINK("http://slimages.macys.com/is/image/MCY/12931618 ")</f>
        <v xml:space="preserve">http://slimages.macys.com/is/image/MCY/12931618 </v>
      </c>
    </row>
    <row r="6" spans="1:18" ht="24.75" x14ac:dyDescent="0.25">
      <c r="A6" s="8" t="s">
        <v>2230</v>
      </c>
      <c r="B6" s="2" t="s">
        <v>2231</v>
      </c>
      <c r="C6" s="4">
        <v>1</v>
      </c>
      <c r="D6" s="6">
        <v>52.73</v>
      </c>
      <c r="E6" s="6">
        <v>52.73</v>
      </c>
      <c r="F6" s="9">
        <v>124.99</v>
      </c>
      <c r="G6" s="6">
        <v>124.99</v>
      </c>
      <c r="H6" s="4" t="s">
        <v>2232</v>
      </c>
      <c r="I6" s="2" t="s">
        <v>2177</v>
      </c>
      <c r="J6" s="10" t="s">
        <v>2107</v>
      </c>
      <c r="K6" s="6"/>
      <c r="L6" s="6"/>
      <c r="M6" s="2" t="s">
        <v>1970</v>
      </c>
      <c r="N6" s="2" t="s">
        <v>1986</v>
      </c>
      <c r="O6" s="2" t="s">
        <v>2233</v>
      </c>
      <c r="P6" s="2" t="s">
        <v>1988</v>
      </c>
      <c r="Q6" s="2" t="s">
        <v>2063</v>
      </c>
      <c r="R6" s="11" t="str">
        <f>HYPERLINK("http://slimages.macys.com/is/image/MCY/11504387 ")</f>
        <v xml:space="preserve">http://slimages.macys.com/is/image/MCY/11504387 </v>
      </c>
    </row>
    <row r="7" spans="1:18" ht="24.75" x14ac:dyDescent="0.25">
      <c r="A7" s="8" t="s">
        <v>2234</v>
      </c>
      <c r="B7" s="2" t="s">
        <v>2235</v>
      </c>
      <c r="C7" s="4">
        <v>1</v>
      </c>
      <c r="D7" s="6">
        <v>44.65</v>
      </c>
      <c r="E7" s="6">
        <v>44.65</v>
      </c>
      <c r="F7" s="9">
        <v>99.99</v>
      </c>
      <c r="G7" s="6">
        <v>99.99</v>
      </c>
      <c r="H7" s="4" t="s">
        <v>2236</v>
      </c>
      <c r="I7" s="2" t="s">
        <v>2026</v>
      </c>
      <c r="J7" s="10"/>
      <c r="K7" s="6"/>
      <c r="L7" s="6"/>
      <c r="M7" s="2" t="s">
        <v>1970</v>
      </c>
      <c r="N7" s="2" t="s">
        <v>2012</v>
      </c>
      <c r="O7" s="2" t="s">
        <v>1987</v>
      </c>
      <c r="P7" s="2" t="s">
        <v>1988</v>
      </c>
      <c r="Q7" s="2" t="s">
        <v>2225</v>
      </c>
      <c r="R7" s="11" t="str">
        <f>HYPERLINK("http://slimages.macys.com/is/image/MCY/11113703 ")</f>
        <v xml:space="preserve">http://slimages.macys.com/is/image/MCY/11113703 </v>
      </c>
    </row>
    <row r="8" spans="1:18" ht="48.75" x14ac:dyDescent="0.25">
      <c r="A8" s="8" t="s">
        <v>2237</v>
      </c>
      <c r="B8" s="2" t="s">
        <v>2238</v>
      </c>
      <c r="C8" s="4">
        <v>1</v>
      </c>
      <c r="D8" s="6">
        <v>42.89</v>
      </c>
      <c r="E8" s="6">
        <v>42.89</v>
      </c>
      <c r="F8" s="9">
        <v>95.99</v>
      </c>
      <c r="G8" s="6">
        <v>95.99</v>
      </c>
      <c r="H8" s="4" t="s">
        <v>2239</v>
      </c>
      <c r="I8" s="2" t="s">
        <v>1993</v>
      </c>
      <c r="J8" s="10"/>
      <c r="K8" s="6"/>
      <c r="L8" s="6"/>
      <c r="M8" s="2" t="s">
        <v>1970</v>
      </c>
      <c r="N8" s="2" t="s">
        <v>2012</v>
      </c>
      <c r="O8" s="2" t="s">
        <v>1987</v>
      </c>
      <c r="P8" s="2" t="s">
        <v>1988</v>
      </c>
      <c r="Q8" s="2" t="s">
        <v>2240</v>
      </c>
      <c r="R8" s="11" t="str">
        <f>HYPERLINK("http://slimages.macys.com/is/image/MCY/9775062 ")</f>
        <v xml:space="preserve">http://slimages.macys.com/is/image/MCY/9775062 </v>
      </c>
    </row>
    <row r="9" spans="1:18" ht="36.75" x14ac:dyDescent="0.25">
      <c r="A9" s="8" t="s">
        <v>2241</v>
      </c>
      <c r="B9" s="2" t="s">
        <v>2242</v>
      </c>
      <c r="C9" s="4">
        <v>1</v>
      </c>
      <c r="D9" s="6">
        <v>45.9</v>
      </c>
      <c r="E9" s="6">
        <v>45.9</v>
      </c>
      <c r="F9" s="9">
        <v>149.99</v>
      </c>
      <c r="G9" s="6">
        <v>149.99</v>
      </c>
      <c r="H9" s="4" t="s">
        <v>2243</v>
      </c>
      <c r="I9" s="2" t="s">
        <v>2244</v>
      </c>
      <c r="J9" s="10"/>
      <c r="K9" s="6"/>
      <c r="L9" s="6"/>
      <c r="M9" s="2" t="s">
        <v>1970</v>
      </c>
      <c r="N9" s="2" t="s">
        <v>1986</v>
      </c>
      <c r="O9" s="2" t="s">
        <v>2216</v>
      </c>
      <c r="P9" s="2" t="s">
        <v>1988</v>
      </c>
      <c r="Q9" s="2" t="s">
        <v>2245</v>
      </c>
      <c r="R9" s="11" t="str">
        <f>HYPERLINK("http://slimages.macys.com/is/image/MCY/10143033 ")</f>
        <v xml:space="preserve">http://slimages.macys.com/is/image/MCY/10143033 </v>
      </c>
    </row>
    <row r="10" spans="1:18" ht="24.75" x14ac:dyDescent="0.25">
      <c r="A10" s="8" t="s">
        <v>2246</v>
      </c>
      <c r="B10" s="2" t="s">
        <v>2247</v>
      </c>
      <c r="C10" s="4">
        <v>1</v>
      </c>
      <c r="D10" s="6">
        <v>45.46</v>
      </c>
      <c r="E10" s="6">
        <v>45.46</v>
      </c>
      <c r="F10" s="9">
        <v>109.99</v>
      </c>
      <c r="G10" s="6">
        <v>109.99</v>
      </c>
      <c r="H10" s="4" t="s">
        <v>2248</v>
      </c>
      <c r="I10" s="2" t="s">
        <v>1993</v>
      </c>
      <c r="J10" s="10"/>
      <c r="K10" s="6"/>
      <c r="L10" s="6"/>
      <c r="M10" s="2" t="s">
        <v>1970</v>
      </c>
      <c r="N10" s="2" t="s">
        <v>1986</v>
      </c>
      <c r="O10" s="2" t="s">
        <v>1987</v>
      </c>
      <c r="P10" s="2" t="s">
        <v>1988</v>
      </c>
      <c r="Q10" s="2" t="s">
        <v>1995</v>
      </c>
      <c r="R10" s="11" t="str">
        <f>HYPERLINK("http://slimages.macys.com/is/image/MCY/8930319 ")</f>
        <v xml:space="preserve">http://slimages.macys.com/is/image/MCY/8930319 </v>
      </c>
    </row>
    <row r="11" spans="1:18" ht="60.75" x14ac:dyDescent="0.25">
      <c r="A11" s="8" t="s">
        <v>2249</v>
      </c>
      <c r="B11" s="2" t="s">
        <v>2250</v>
      </c>
      <c r="C11" s="4">
        <v>1</v>
      </c>
      <c r="D11" s="6">
        <v>38.24</v>
      </c>
      <c r="E11" s="6">
        <v>38.24</v>
      </c>
      <c r="F11" s="9">
        <v>93.99</v>
      </c>
      <c r="G11" s="6">
        <v>93.99</v>
      </c>
      <c r="H11" s="4" t="s">
        <v>2251</v>
      </c>
      <c r="I11" s="2" t="s">
        <v>2252</v>
      </c>
      <c r="J11" s="10"/>
      <c r="K11" s="6"/>
      <c r="L11" s="6"/>
      <c r="M11" s="2" t="s">
        <v>1970</v>
      </c>
      <c r="N11" s="2" t="s">
        <v>2012</v>
      </c>
      <c r="O11" s="2" t="s">
        <v>1987</v>
      </c>
      <c r="P11" s="2" t="s">
        <v>1988</v>
      </c>
      <c r="Q11" s="2" t="s">
        <v>2253</v>
      </c>
      <c r="R11" s="11" t="str">
        <f>HYPERLINK("http://slimages.macys.com/is/image/MCY/10028055 ")</f>
        <v xml:space="preserve">http://slimages.macys.com/is/image/MCY/10028055 </v>
      </c>
    </row>
    <row r="12" spans="1:18" ht="48.75" x14ac:dyDescent="0.25">
      <c r="A12" s="8" t="s">
        <v>2254</v>
      </c>
      <c r="B12" s="2" t="s">
        <v>2255</v>
      </c>
      <c r="C12" s="4">
        <v>1</v>
      </c>
      <c r="D12" s="6">
        <v>38.11</v>
      </c>
      <c r="E12" s="6">
        <v>38.11</v>
      </c>
      <c r="F12" s="9">
        <v>77.989999999999995</v>
      </c>
      <c r="G12" s="6">
        <v>77.989999999999995</v>
      </c>
      <c r="H12" s="4" t="s">
        <v>2256</v>
      </c>
      <c r="I12" s="2" t="s">
        <v>2026</v>
      </c>
      <c r="J12" s="10"/>
      <c r="K12" s="6"/>
      <c r="L12" s="6"/>
      <c r="M12" s="2" t="s">
        <v>1970</v>
      </c>
      <c r="N12" s="2" t="s">
        <v>2012</v>
      </c>
      <c r="O12" s="2" t="s">
        <v>1987</v>
      </c>
      <c r="P12" s="2" t="s">
        <v>1988</v>
      </c>
      <c r="Q12" s="2" t="s">
        <v>2257</v>
      </c>
      <c r="R12" s="11" t="str">
        <f>HYPERLINK("http://slimages.macys.com/is/image/MCY/12056510 ")</f>
        <v xml:space="preserve">http://slimages.macys.com/is/image/MCY/12056510 </v>
      </c>
    </row>
    <row r="13" spans="1:18" ht="72.75" x14ac:dyDescent="0.25">
      <c r="A13" s="8" t="s">
        <v>2258</v>
      </c>
      <c r="B13" s="2" t="s">
        <v>2259</v>
      </c>
      <c r="C13" s="4">
        <v>1</v>
      </c>
      <c r="D13" s="6">
        <v>35.71</v>
      </c>
      <c r="E13" s="6">
        <v>35.71</v>
      </c>
      <c r="F13" s="9">
        <v>128.99</v>
      </c>
      <c r="G13" s="6">
        <v>128.99</v>
      </c>
      <c r="H13" s="4" t="s">
        <v>2260</v>
      </c>
      <c r="I13" s="2" t="s">
        <v>2261</v>
      </c>
      <c r="J13" s="10"/>
      <c r="K13" s="6"/>
      <c r="L13" s="6"/>
      <c r="M13" s="2" t="s">
        <v>1970</v>
      </c>
      <c r="N13" s="2" t="s">
        <v>2012</v>
      </c>
      <c r="O13" s="2" t="s">
        <v>1987</v>
      </c>
      <c r="P13" s="2" t="s">
        <v>1988</v>
      </c>
      <c r="Q13" s="2" t="s">
        <v>2262</v>
      </c>
      <c r="R13" s="11" t="str">
        <f>HYPERLINK("http://slimages.macys.com/is/image/MCY/12933145 ")</f>
        <v xml:space="preserve">http://slimages.macys.com/is/image/MCY/12933145 </v>
      </c>
    </row>
    <row r="14" spans="1:18" ht="24.75" x14ac:dyDescent="0.25">
      <c r="A14" s="8" t="s">
        <v>2263</v>
      </c>
      <c r="B14" s="2" t="s">
        <v>2264</v>
      </c>
      <c r="C14" s="4">
        <v>2</v>
      </c>
      <c r="D14" s="6">
        <v>32.200000000000003</v>
      </c>
      <c r="E14" s="6">
        <v>64.400000000000006</v>
      </c>
      <c r="F14" s="9">
        <v>94.99</v>
      </c>
      <c r="G14" s="6">
        <v>189.98</v>
      </c>
      <c r="H14" s="4" t="s">
        <v>2265</v>
      </c>
      <c r="I14" s="2" t="s">
        <v>2266</v>
      </c>
      <c r="J14" s="10"/>
      <c r="K14" s="6"/>
      <c r="L14" s="6"/>
      <c r="M14" s="2" t="s">
        <v>1970</v>
      </c>
      <c r="N14" s="2" t="s">
        <v>2012</v>
      </c>
      <c r="O14" s="2" t="s">
        <v>2013</v>
      </c>
      <c r="P14" s="2" t="s">
        <v>1988</v>
      </c>
      <c r="Q14" s="2" t="s">
        <v>1995</v>
      </c>
      <c r="R14" s="11" t="str">
        <f>HYPERLINK("http://slimages.macys.com/is/image/MCY/10341288 ")</f>
        <v xml:space="preserve">http://slimages.macys.com/is/image/MCY/10341288 </v>
      </c>
    </row>
    <row r="15" spans="1:18" ht="60.75" x14ac:dyDescent="0.25">
      <c r="A15" s="8" t="s">
        <v>2267</v>
      </c>
      <c r="B15" s="2" t="s">
        <v>2268</v>
      </c>
      <c r="C15" s="4">
        <v>1</v>
      </c>
      <c r="D15" s="6">
        <v>36.159999999999997</v>
      </c>
      <c r="E15" s="6">
        <v>36.159999999999997</v>
      </c>
      <c r="F15" s="9">
        <v>88.99</v>
      </c>
      <c r="G15" s="6">
        <v>88.99</v>
      </c>
      <c r="H15" s="4" t="s">
        <v>2269</v>
      </c>
      <c r="I15" s="2" t="s">
        <v>2004</v>
      </c>
      <c r="J15" s="10"/>
      <c r="K15" s="6"/>
      <c r="L15" s="6"/>
      <c r="M15" s="2" t="s">
        <v>1970</v>
      </c>
      <c r="N15" s="2" t="s">
        <v>1986</v>
      </c>
      <c r="O15" s="2" t="s">
        <v>1987</v>
      </c>
      <c r="P15" s="2" t="s">
        <v>1988</v>
      </c>
      <c r="Q15" s="2" t="s">
        <v>2270</v>
      </c>
      <c r="R15" s="11" t="str">
        <f>HYPERLINK("http://slimages.macys.com/is/image/MCY/9806078 ")</f>
        <v xml:space="preserve">http://slimages.macys.com/is/image/MCY/9806078 </v>
      </c>
    </row>
    <row r="16" spans="1:18" ht="24.75" x14ac:dyDescent="0.25">
      <c r="A16" s="8" t="s">
        <v>2271</v>
      </c>
      <c r="B16" s="2" t="s">
        <v>2272</v>
      </c>
      <c r="C16" s="4">
        <v>1</v>
      </c>
      <c r="D16" s="6">
        <v>29</v>
      </c>
      <c r="E16" s="6">
        <v>29</v>
      </c>
      <c r="F16" s="9">
        <v>72.989999999999995</v>
      </c>
      <c r="G16" s="6">
        <v>72.989999999999995</v>
      </c>
      <c r="H16" s="4" t="s">
        <v>2273</v>
      </c>
      <c r="I16" s="2" t="s">
        <v>2026</v>
      </c>
      <c r="J16" s="10"/>
      <c r="K16" s="6"/>
      <c r="L16" s="6"/>
      <c r="M16" s="2" t="s">
        <v>1970</v>
      </c>
      <c r="N16" s="2" t="s">
        <v>2005</v>
      </c>
      <c r="O16" s="2" t="s">
        <v>2274</v>
      </c>
      <c r="P16" s="2" t="s">
        <v>1988</v>
      </c>
      <c r="Q16" s="2" t="s">
        <v>2275</v>
      </c>
      <c r="R16" s="11" t="str">
        <f>HYPERLINK("http://slimages.macys.com/is/image/MCY/13767737 ")</f>
        <v xml:space="preserve">http://slimages.macys.com/is/image/MCY/13767737 </v>
      </c>
    </row>
    <row r="17" spans="1:18" ht="60.75" x14ac:dyDescent="0.25">
      <c r="A17" s="8" t="s">
        <v>2276</v>
      </c>
      <c r="B17" s="2" t="s">
        <v>2277</v>
      </c>
      <c r="C17" s="4">
        <v>1</v>
      </c>
      <c r="D17" s="6">
        <v>25.99</v>
      </c>
      <c r="E17" s="6">
        <v>25.99</v>
      </c>
      <c r="F17" s="9">
        <v>64.989999999999995</v>
      </c>
      <c r="G17" s="6">
        <v>64.989999999999995</v>
      </c>
      <c r="H17" s="4" t="s">
        <v>2278</v>
      </c>
      <c r="I17" s="2" t="s">
        <v>2026</v>
      </c>
      <c r="J17" s="10"/>
      <c r="K17" s="6"/>
      <c r="L17" s="6"/>
      <c r="M17" s="2" t="s">
        <v>1970</v>
      </c>
      <c r="N17" s="2" t="s">
        <v>2027</v>
      </c>
      <c r="O17" s="2" t="s">
        <v>1987</v>
      </c>
      <c r="P17" s="2" t="s">
        <v>1988</v>
      </c>
      <c r="Q17" s="2" t="s">
        <v>2279</v>
      </c>
      <c r="R17" s="11" t="str">
        <f>HYPERLINK("http://slimages.macys.com/is/image/MCY/8951324 ")</f>
        <v xml:space="preserve">http://slimages.macys.com/is/image/MCY/8951324 </v>
      </c>
    </row>
    <row r="18" spans="1:18" ht="24.75" x14ac:dyDescent="0.25">
      <c r="A18" s="8" t="s">
        <v>2280</v>
      </c>
      <c r="B18" s="2" t="s">
        <v>2281</v>
      </c>
      <c r="C18" s="4">
        <v>4</v>
      </c>
      <c r="D18" s="6">
        <v>21.43</v>
      </c>
      <c r="E18" s="6">
        <v>85.72</v>
      </c>
      <c r="F18" s="9">
        <v>52.99</v>
      </c>
      <c r="G18" s="6">
        <v>211.96</v>
      </c>
      <c r="H18" s="4" t="s">
        <v>2282</v>
      </c>
      <c r="I18" s="2" t="s">
        <v>2283</v>
      </c>
      <c r="J18" s="10"/>
      <c r="K18" s="6"/>
      <c r="L18" s="6"/>
      <c r="M18" s="2" t="s">
        <v>1970</v>
      </c>
      <c r="N18" s="2" t="s">
        <v>2012</v>
      </c>
      <c r="O18" s="2" t="s">
        <v>1987</v>
      </c>
      <c r="P18" s="2" t="s">
        <v>1988</v>
      </c>
      <c r="Q18" s="2"/>
      <c r="R18" s="11" t="str">
        <f>HYPERLINK("http://slimages.macys.com/is/image/MCY/9310164 ")</f>
        <v xml:space="preserve">http://slimages.macys.com/is/image/MCY/9310164 </v>
      </c>
    </row>
    <row r="19" spans="1:18" ht="72.75" x14ac:dyDescent="0.25">
      <c r="A19" s="8" t="s">
        <v>2284</v>
      </c>
      <c r="B19" s="2" t="s">
        <v>2285</v>
      </c>
      <c r="C19" s="4">
        <v>1</v>
      </c>
      <c r="D19" s="6">
        <v>19.850000000000001</v>
      </c>
      <c r="E19" s="6">
        <v>19.850000000000001</v>
      </c>
      <c r="F19" s="9">
        <v>44.99</v>
      </c>
      <c r="G19" s="6">
        <v>44.99</v>
      </c>
      <c r="H19" s="4" t="s">
        <v>2286</v>
      </c>
      <c r="I19" s="2" t="s">
        <v>2120</v>
      </c>
      <c r="J19" s="10"/>
      <c r="K19" s="6"/>
      <c r="L19" s="6"/>
      <c r="M19" s="2" t="s">
        <v>1970</v>
      </c>
      <c r="N19" s="2" t="s">
        <v>2012</v>
      </c>
      <c r="O19" s="2" t="s">
        <v>1987</v>
      </c>
      <c r="P19" s="2" t="s">
        <v>1988</v>
      </c>
      <c r="Q19" s="2" t="s">
        <v>2287</v>
      </c>
      <c r="R19" s="11" t="str">
        <f>HYPERLINK("http://slimages.macys.com/is/image/MCY/9616218 ")</f>
        <v xml:space="preserve">http://slimages.macys.com/is/image/MCY/9616218 </v>
      </c>
    </row>
    <row r="20" spans="1:18" ht="72.75" x14ac:dyDescent="0.25">
      <c r="A20" s="8" t="s">
        <v>2288</v>
      </c>
      <c r="B20" s="2" t="s">
        <v>2289</v>
      </c>
      <c r="C20" s="4">
        <v>1</v>
      </c>
      <c r="D20" s="6">
        <v>19.850000000000001</v>
      </c>
      <c r="E20" s="6">
        <v>19.850000000000001</v>
      </c>
      <c r="F20" s="9">
        <v>44.99</v>
      </c>
      <c r="G20" s="6">
        <v>44.99</v>
      </c>
      <c r="H20" s="4" t="s">
        <v>2290</v>
      </c>
      <c r="I20" s="2" t="s">
        <v>2266</v>
      </c>
      <c r="J20" s="10"/>
      <c r="K20" s="6"/>
      <c r="L20" s="6"/>
      <c r="M20" s="2" t="s">
        <v>1970</v>
      </c>
      <c r="N20" s="2" t="s">
        <v>2012</v>
      </c>
      <c r="O20" s="2" t="s">
        <v>1987</v>
      </c>
      <c r="P20" s="2" t="s">
        <v>1988</v>
      </c>
      <c r="Q20" s="2" t="s">
        <v>2287</v>
      </c>
      <c r="R20" s="11" t="str">
        <f>HYPERLINK("http://slimages.macys.com/is/image/MCY/9616352 ")</f>
        <v xml:space="preserve">http://slimages.macys.com/is/image/MCY/9616352 </v>
      </c>
    </row>
    <row r="21" spans="1:18" ht="24.75" x14ac:dyDescent="0.25">
      <c r="A21" s="8" t="s">
        <v>2291</v>
      </c>
      <c r="B21" s="2" t="s">
        <v>2292</v>
      </c>
      <c r="C21" s="4">
        <v>1</v>
      </c>
      <c r="D21" s="6">
        <v>20</v>
      </c>
      <c r="E21" s="6">
        <v>20</v>
      </c>
      <c r="F21" s="9">
        <v>39.99</v>
      </c>
      <c r="G21" s="6">
        <v>39.99</v>
      </c>
      <c r="H21" s="4" t="s">
        <v>2293</v>
      </c>
      <c r="I21" s="2" t="s">
        <v>2294</v>
      </c>
      <c r="J21" s="10"/>
      <c r="K21" s="6"/>
      <c r="L21" s="6"/>
      <c r="M21" s="2" t="s">
        <v>1970</v>
      </c>
      <c r="N21" s="2" t="s">
        <v>2295</v>
      </c>
      <c r="O21" s="2" t="s">
        <v>2296</v>
      </c>
      <c r="P21" s="2" t="s">
        <v>1988</v>
      </c>
      <c r="Q21" s="2"/>
      <c r="R21" s="11" t="str">
        <f>HYPERLINK("http://slimages.macys.com/is/image/MCY/9109954 ")</f>
        <v xml:space="preserve">http://slimages.macys.com/is/image/MCY/9109954 </v>
      </c>
    </row>
    <row r="22" spans="1:18" ht="24.75" x14ac:dyDescent="0.25">
      <c r="A22" s="8" t="s">
        <v>2297</v>
      </c>
      <c r="B22" s="2" t="s">
        <v>2298</v>
      </c>
      <c r="C22" s="4">
        <v>1</v>
      </c>
      <c r="D22" s="6">
        <v>19.14</v>
      </c>
      <c r="E22" s="6">
        <v>19.14</v>
      </c>
      <c r="F22" s="9">
        <v>49.99</v>
      </c>
      <c r="G22" s="6">
        <v>49.99</v>
      </c>
      <c r="H22" s="4" t="s">
        <v>2299</v>
      </c>
      <c r="I22" s="2" t="s">
        <v>1985</v>
      </c>
      <c r="J22" s="10"/>
      <c r="K22" s="6"/>
      <c r="L22" s="6"/>
      <c r="M22" s="2" t="s">
        <v>1970</v>
      </c>
      <c r="N22" s="2" t="s">
        <v>2032</v>
      </c>
      <c r="O22" s="2" t="s">
        <v>2300</v>
      </c>
      <c r="P22" s="2" t="s">
        <v>1988</v>
      </c>
      <c r="Q22" s="2" t="s">
        <v>2301</v>
      </c>
      <c r="R22" s="11" t="str">
        <f>HYPERLINK("http://slimages.macys.com/is/image/MCY/16059464 ")</f>
        <v xml:space="preserve">http://slimages.macys.com/is/image/MCY/16059464 </v>
      </c>
    </row>
    <row r="23" spans="1:18" ht="24.75" x14ac:dyDescent="0.25">
      <c r="A23" s="8" t="s">
        <v>2302</v>
      </c>
      <c r="B23" s="2" t="s">
        <v>2303</v>
      </c>
      <c r="C23" s="4">
        <v>1</v>
      </c>
      <c r="D23" s="6">
        <v>15.6</v>
      </c>
      <c r="E23" s="6">
        <v>15.6</v>
      </c>
      <c r="F23" s="9">
        <v>39.99</v>
      </c>
      <c r="G23" s="6">
        <v>39.99</v>
      </c>
      <c r="H23" s="4">
        <v>65716</v>
      </c>
      <c r="I23" s="2" t="s">
        <v>2026</v>
      </c>
      <c r="J23" s="10"/>
      <c r="K23" s="6"/>
      <c r="L23" s="6"/>
      <c r="M23" s="2" t="s">
        <v>1970</v>
      </c>
      <c r="N23" s="2" t="s">
        <v>2005</v>
      </c>
      <c r="O23" s="2" t="s">
        <v>2304</v>
      </c>
      <c r="P23" s="2" t="s">
        <v>1988</v>
      </c>
      <c r="Q23" s="2" t="s">
        <v>2305</v>
      </c>
      <c r="R23" s="11" t="str">
        <f>HYPERLINK("http://slimages.macys.com/is/image/MCY/14371062 ")</f>
        <v xml:space="preserve">http://slimages.macys.com/is/image/MCY/14371062 </v>
      </c>
    </row>
    <row r="24" spans="1:18" ht="24.75" x14ac:dyDescent="0.25">
      <c r="A24" s="8" t="s">
        <v>2306</v>
      </c>
      <c r="B24" s="2" t="s">
        <v>2307</v>
      </c>
      <c r="C24" s="4">
        <v>1</v>
      </c>
      <c r="D24" s="6">
        <v>14.89</v>
      </c>
      <c r="E24" s="6">
        <v>14.89</v>
      </c>
      <c r="F24" s="9">
        <v>36.99</v>
      </c>
      <c r="G24" s="6">
        <v>36.99</v>
      </c>
      <c r="H24" s="4" t="s">
        <v>2308</v>
      </c>
      <c r="I24" s="2" t="s">
        <v>2309</v>
      </c>
      <c r="J24" s="10"/>
      <c r="K24" s="6"/>
      <c r="L24" s="6"/>
      <c r="M24" s="2" t="s">
        <v>1970</v>
      </c>
      <c r="N24" s="2" t="s">
        <v>2012</v>
      </c>
      <c r="O24" s="2" t="s">
        <v>1987</v>
      </c>
      <c r="P24" s="2" t="s">
        <v>1988</v>
      </c>
      <c r="Q24" s="2" t="s">
        <v>2310</v>
      </c>
      <c r="R24" s="11" t="str">
        <f>HYPERLINK("http://slimages.macys.com/is/image/MCY/9929848 ")</f>
        <v xml:space="preserve">http://slimages.macys.com/is/image/MCY/9929848 </v>
      </c>
    </row>
    <row r="25" spans="1:18" ht="24.75" x14ac:dyDescent="0.25">
      <c r="A25" s="8" t="s">
        <v>2311</v>
      </c>
      <c r="B25" s="2" t="s">
        <v>2312</v>
      </c>
      <c r="C25" s="4">
        <v>1</v>
      </c>
      <c r="D25" s="6">
        <v>13.39</v>
      </c>
      <c r="E25" s="6">
        <v>13.39</v>
      </c>
      <c r="F25" s="9">
        <v>26.99</v>
      </c>
      <c r="G25" s="6">
        <v>26.99</v>
      </c>
      <c r="H25" s="4" t="s">
        <v>2313</v>
      </c>
      <c r="I25" s="2" t="s">
        <v>1985</v>
      </c>
      <c r="J25" s="10" t="s">
        <v>2314</v>
      </c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2315</v>
      </c>
      <c r="R25" s="11" t="str">
        <f>HYPERLINK("http://slimages.macys.com/is/image/MCY/9613901 ")</f>
        <v xml:space="preserve">http://slimages.macys.com/is/image/MCY/9613901 </v>
      </c>
    </row>
    <row r="26" spans="1:18" ht="24.75" x14ac:dyDescent="0.25">
      <c r="A26" s="8" t="s">
        <v>2316</v>
      </c>
      <c r="B26" s="2" t="s">
        <v>2317</v>
      </c>
      <c r="C26" s="4">
        <v>1</v>
      </c>
      <c r="D26" s="6">
        <v>13.39</v>
      </c>
      <c r="E26" s="6">
        <v>13.39</v>
      </c>
      <c r="F26" s="9">
        <v>29.99</v>
      </c>
      <c r="G26" s="6">
        <v>29.99</v>
      </c>
      <c r="H26" s="4" t="s">
        <v>2318</v>
      </c>
      <c r="I26" s="2" t="s">
        <v>1993</v>
      </c>
      <c r="J26" s="10"/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2319</v>
      </c>
      <c r="R26" s="11" t="str">
        <f>HYPERLINK("http://slimages.macys.com/is/image/MCY/9615492 ")</f>
        <v xml:space="preserve">http://slimages.macys.com/is/image/MCY/9615492 </v>
      </c>
    </row>
    <row r="27" spans="1:18" ht="96.75" x14ac:dyDescent="0.25">
      <c r="A27" s="8" t="s">
        <v>2068</v>
      </c>
      <c r="B27" s="2" t="s">
        <v>2069</v>
      </c>
      <c r="C27" s="4">
        <v>1</v>
      </c>
      <c r="D27" s="6">
        <v>11.16</v>
      </c>
      <c r="E27" s="6">
        <v>11.16</v>
      </c>
      <c r="F27" s="9">
        <v>19.989999999999998</v>
      </c>
      <c r="G27" s="6">
        <v>19.989999999999998</v>
      </c>
      <c r="H27" s="4" t="s">
        <v>2070</v>
      </c>
      <c r="I27" s="2" t="s">
        <v>2071</v>
      </c>
      <c r="J27" s="10" t="s">
        <v>2072</v>
      </c>
      <c r="K27" s="6"/>
      <c r="L27" s="6"/>
      <c r="M27" s="2" t="s">
        <v>1970</v>
      </c>
      <c r="N27" s="2" t="s">
        <v>2012</v>
      </c>
      <c r="O27" s="2" t="s">
        <v>1987</v>
      </c>
      <c r="P27" s="2" t="s">
        <v>1988</v>
      </c>
      <c r="Q27" s="2" t="s">
        <v>2073</v>
      </c>
      <c r="R27" s="11" t="str">
        <f>HYPERLINK("http://slimages.macys.com/is/image/MCY/9613896 ")</f>
        <v xml:space="preserve">http://slimages.macys.com/is/image/MCY/9613896 </v>
      </c>
    </row>
    <row r="28" spans="1:18" ht="24.75" x14ac:dyDescent="0.25">
      <c r="A28" s="8" t="s">
        <v>2320</v>
      </c>
      <c r="B28" s="2" t="s">
        <v>2321</v>
      </c>
      <c r="C28" s="4">
        <v>2</v>
      </c>
      <c r="D28" s="6">
        <v>9.91</v>
      </c>
      <c r="E28" s="6">
        <v>19.82</v>
      </c>
      <c r="F28" s="9">
        <v>22.99</v>
      </c>
      <c r="G28" s="6">
        <v>45.98</v>
      </c>
      <c r="H28" s="4" t="s">
        <v>2322</v>
      </c>
      <c r="I28" s="2" t="s">
        <v>1993</v>
      </c>
      <c r="J28" s="10" t="s">
        <v>2072</v>
      </c>
      <c r="K28" s="6"/>
      <c r="L28" s="6"/>
      <c r="M28" s="2" t="s">
        <v>1970</v>
      </c>
      <c r="N28" s="2" t="s">
        <v>2012</v>
      </c>
      <c r="O28" s="2" t="s">
        <v>1987</v>
      </c>
      <c r="P28" s="2" t="s">
        <v>1988</v>
      </c>
      <c r="Q28" s="2" t="s">
        <v>1995</v>
      </c>
      <c r="R28" s="11" t="str">
        <f>HYPERLINK("http://slimages.macys.com/is/image/MCY/16421101 ")</f>
        <v xml:space="preserve">http://slimages.macys.com/is/image/MCY/16421101 </v>
      </c>
    </row>
    <row r="29" spans="1:18" ht="24.75" x14ac:dyDescent="0.25">
      <c r="A29" s="8" t="s">
        <v>2323</v>
      </c>
      <c r="B29" s="2" t="s">
        <v>2324</v>
      </c>
      <c r="C29" s="4">
        <v>1</v>
      </c>
      <c r="D29" s="6">
        <v>9.09</v>
      </c>
      <c r="E29" s="6">
        <v>9.09</v>
      </c>
      <c r="F29" s="9">
        <v>19.989999999999998</v>
      </c>
      <c r="G29" s="6">
        <v>19.989999999999998</v>
      </c>
      <c r="H29" s="4" t="s">
        <v>2325</v>
      </c>
      <c r="I29" s="2" t="s">
        <v>2087</v>
      </c>
      <c r="J29" s="10" t="s">
        <v>2326</v>
      </c>
      <c r="K29" s="6"/>
      <c r="L29" s="6"/>
      <c r="M29" s="2" t="s">
        <v>1970</v>
      </c>
      <c r="N29" s="2" t="s">
        <v>2093</v>
      </c>
      <c r="O29" s="2" t="s">
        <v>2094</v>
      </c>
      <c r="P29" s="2" t="s">
        <v>1988</v>
      </c>
      <c r="Q29" s="2" t="s">
        <v>2327</v>
      </c>
      <c r="R29" s="11" t="str">
        <f>HYPERLINK("http://slimages.macys.com/is/image/MCY/807332 ")</f>
        <v xml:space="preserve">http://slimages.macys.com/is/image/MCY/807332 </v>
      </c>
    </row>
    <row r="30" spans="1:18" ht="24.75" x14ac:dyDescent="0.25">
      <c r="A30" s="8" t="s">
        <v>2328</v>
      </c>
      <c r="B30" s="2" t="s">
        <v>2329</v>
      </c>
      <c r="C30" s="4">
        <v>2</v>
      </c>
      <c r="D30" s="6">
        <v>8.34</v>
      </c>
      <c r="E30" s="6">
        <v>16.68</v>
      </c>
      <c r="F30" s="9">
        <v>24.99</v>
      </c>
      <c r="G30" s="6">
        <v>49.98</v>
      </c>
      <c r="H30" s="4" t="s">
        <v>2330</v>
      </c>
      <c r="I30" s="2" t="s">
        <v>2017</v>
      </c>
      <c r="J30" s="10"/>
      <c r="K30" s="6"/>
      <c r="L30" s="6"/>
      <c r="M30" s="2" t="s">
        <v>1970</v>
      </c>
      <c r="N30" s="2" t="s">
        <v>2012</v>
      </c>
      <c r="O30" s="2" t="s">
        <v>2331</v>
      </c>
      <c r="P30" s="2" t="s">
        <v>1988</v>
      </c>
      <c r="Q30" s="2" t="s">
        <v>1995</v>
      </c>
      <c r="R30" s="11" t="str">
        <f>HYPERLINK("http://slimages.macys.com/is/image/MCY/11685195 ")</f>
        <v xml:space="preserve">http://slimages.macys.com/is/image/MCY/11685195 </v>
      </c>
    </row>
    <row r="31" spans="1:18" ht="24.75" x14ac:dyDescent="0.25">
      <c r="A31" s="8" t="s">
        <v>2332</v>
      </c>
      <c r="B31" s="2" t="s">
        <v>2333</v>
      </c>
      <c r="C31" s="4">
        <v>1</v>
      </c>
      <c r="D31" s="6">
        <v>6.95</v>
      </c>
      <c r="E31" s="6">
        <v>6.95</v>
      </c>
      <c r="F31" s="9">
        <v>14.99</v>
      </c>
      <c r="G31" s="6">
        <v>14.99</v>
      </c>
      <c r="H31" s="4" t="s">
        <v>2334</v>
      </c>
      <c r="I31" s="2" t="s">
        <v>2087</v>
      </c>
      <c r="J31" s="10" t="s">
        <v>2092</v>
      </c>
      <c r="K31" s="6"/>
      <c r="L31" s="6"/>
      <c r="M31" s="2" t="s">
        <v>1970</v>
      </c>
      <c r="N31" s="2" t="s">
        <v>2093</v>
      </c>
      <c r="O31" s="2" t="s">
        <v>2094</v>
      </c>
      <c r="P31" s="2" t="s">
        <v>2335</v>
      </c>
      <c r="Q31" s="2" t="s">
        <v>2095</v>
      </c>
      <c r="R31" s="11" t="str">
        <f>HYPERLINK("http://slimages.macys.com/is/image/MCY/807332 ")</f>
        <v xml:space="preserve">http://slimages.macys.com/is/image/MCY/807332 </v>
      </c>
    </row>
    <row r="32" spans="1:18" ht="24.75" x14ac:dyDescent="0.25">
      <c r="A32" s="8" t="s">
        <v>2336</v>
      </c>
      <c r="B32" s="2" t="s">
        <v>2337</v>
      </c>
      <c r="C32" s="4">
        <v>2</v>
      </c>
      <c r="D32" s="6">
        <v>4.88</v>
      </c>
      <c r="E32" s="6">
        <v>9.76</v>
      </c>
      <c r="F32" s="9">
        <v>14.99</v>
      </c>
      <c r="G32" s="6">
        <v>29.98</v>
      </c>
      <c r="H32" s="4" t="s">
        <v>2338</v>
      </c>
      <c r="I32" s="2" t="s">
        <v>2031</v>
      </c>
      <c r="J32" s="10"/>
      <c r="K32" s="6"/>
      <c r="L32" s="6"/>
      <c r="M32" s="2" t="s">
        <v>1970</v>
      </c>
      <c r="N32" s="2" t="s">
        <v>2012</v>
      </c>
      <c r="O32" s="2" t="s">
        <v>2088</v>
      </c>
      <c r="P32" s="2" t="s">
        <v>1988</v>
      </c>
      <c r="Q32" s="2" t="s">
        <v>1995</v>
      </c>
      <c r="R32" s="11" t="str">
        <f>HYPERLINK("http://slimages.macys.com/is/image/MCY/935272 ")</f>
        <v xml:space="preserve">http://slimages.macys.com/is/image/MCY/935272 </v>
      </c>
    </row>
    <row r="33" spans="1:18" ht="24.75" x14ac:dyDescent="0.25">
      <c r="A33" s="8" t="s">
        <v>2339</v>
      </c>
      <c r="B33" s="2" t="s">
        <v>2340</v>
      </c>
      <c r="C33" s="4">
        <v>3</v>
      </c>
      <c r="D33" s="6">
        <v>4.09</v>
      </c>
      <c r="E33" s="6">
        <v>12.27</v>
      </c>
      <c r="F33" s="9">
        <v>9.99</v>
      </c>
      <c r="G33" s="6">
        <v>29.97</v>
      </c>
      <c r="H33" s="4" t="s">
        <v>2341</v>
      </c>
      <c r="I33" s="2" t="s">
        <v>2087</v>
      </c>
      <c r="J33" s="10" t="s">
        <v>2342</v>
      </c>
      <c r="K33" s="6"/>
      <c r="L33" s="6"/>
      <c r="M33" s="2" t="s">
        <v>1970</v>
      </c>
      <c r="N33" s="2" t="s">
        <v>2093</v>
      </c>
      <c r="O33" s="2" t="s">
        <v>2094</v>
      </c>
      <c r="P33" s="2" t="s">
        <v>1988</v>
      </c>
      <c r="Q33" s="2" t="s">
        <v>2327</v>
      </c>
      <c r="R33" s="11" t="str">
        <f>HYPERLINK("http://slimages.macys.com/is/image/MCY/807332 ")</f>
        <v xml:space="preserve">http://slimages.macys.com/is/image/MCY/807332 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2:R39"/>
  <sheetViews>
    <sheetView topLeftCell="A28" workbookViewId="0">
      <selection activeCell="I35" sqref="I35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6.57031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2" spans="1:18" ht="36" x14ac:dyDescent="0.25">
      <c r="A2" s="1" t="s">
        <v>1971</v>
      </c>
      <c r="B2" s="1" t="s">
        <v>1972</v>
      </c>
      <c r="C2" s="1" t="s">
        <v>1973</v>
      </c>
      <c r="D2" s="1" t="s">
        <v>1962</v>
      </c>
      <c r="E2" s="1" t="s">
        <v>1967</v>
      </c>
      <c r="F2" s="1" t="s">
        <v>1963</v>
      </c>
      <c r="G2" s="1" t="s">
        <v>1968</v>
      </c>
      <c r="H2" s="1" t="s">
        <v>1974</v>
      </c>
      <c r="I2" s="1" t="s">
        <v>1975</v>
      </c>
      <c r="J2" s="1" t="s">
        <v>1976</v>
      </c>
      <c r="K2" s="1"/>
      <c r="L2" s="1"/>
      <c r="M2" s="1" t="s">
        <v>1969</v>
      </c>
      <c r="N2" s="1" t="s">
        <v>1977</v>
      </c>
      <c r="O2" s="1" t="s">
        <v>1978</v>
      </c>
      <c r="P2" s="1" t="s">
        <v>1979</v>
      </c>
      <c r="Q2" s="1" t="s">
        <v>1980</v>
      </c>
      <c r="R2" s="1" t="s">
        <v>1981</v>
      </c>
    </row>
    <row r="3" spans="1:18" ht="180.75" x14ac:dyDescent="0.25">
      <c r="A3" s="8" t="s">
        <v>2344</v>
      </c>
      <c r="B3" s="2" t="s">
        <v>2345</v>
      </c>
      <c r="C3" s="4">
        <v>1</v>
      </c>
      <c r="D3" s="6">
        <v>195.88</v>
      </c>
      <c r="E3" s="6">
        <v>195.88</v>
      </c>
      <c r="F3" s="9">
        <v>702.99</v>
      </c>
      <c r="G3" s="6">
        <v>702.99</v>
      </c>
      <c r="H3" s="4" t="s">
        <v>2346</v>
      </c>
      <c r="I3" s="2" t="s">
        <v>2017</v>
      </c>
      <c r="J3" s="10"/>
      <c r="K3" s="6"/>
      <c r="L3" s="6"/>
      <c r="M3" s="2" t="s">
        <v>1970</v>
      </c>
      <c r="N3" s="2" t="s">
        <v>1986</v>
      </c>
      <c r="O3" s="2" t="s">
        <v>1987</v>
      </c>
      <c r="P3" s="2" t="s">
        <v>1988</v>
      </c>
      <c r="Q3" s="2" t="s">
        <v>2347</v>
      </c>
      <c r="R3" s="11" t="str">
        <f>HYPERLINK("http://slimages.macys.com/is/image/MCY/12666542 ")</f>
        <v xml:space="preserve">http://slimages.macys.com/is/image/MCY/12666542 </v>
      </c>
    </row>
    <row r="4" spans="1:18" ht="24.75" x14ac:dyDescent="0.25">
      <c r="A4" s="8" t="s">
        <v>2348</v>
      </c>
      <c r="B4" s="2" t="s">
        <v>2349</v>
      </c>
      <c r="C4" s="4">
        <v>1</v>
      </c>
      <c r="D4" s="6">
        <v>126</v>
      </c>
      <c r="E4" s="6">
        <v>126</v>
      </c>
      <c r="F4" s="9">
        <v>279.99</v>
      </c>
      <c r="G4" s="6">
        <v>279.99</v>
      </c>
      <c r="H4" s="4">
        <v>650738974005</v>
      </c>
      <c r="I4" s="2" t="s">
        <v>2071</v>
      </c>
      <c r="J4" s="10"/>
      <c r="K4" s="6"/>
      <c r="L4" s="6"/>
      <c r="M4" s="2" t="s">
        <v>2343</v>
      </c>
      <c r="N4" s="2" t="s">
        <v>2350</v>
      </c>
      <c r="O4" s="2" t="s">
        <v>2351</v>
      </c>
      <c r="P4" s="2" t="s">
        <v>1988</v>
      </c>
      <c r="Q4" s="2" t="s">
        <v>2352</v>
      </c>
      <c r="R4" s="11" t="str">
        <f>HYPERLINK("http://images.bloomingdales.com/is/image/BLM/10122166 ")</f>
        <v xml:space="preserve">http://images.bloomingdales.com/is/image/BLM/10122166 </v>
      </c>
    </row>
    <row r="5" spans="1:18" ht="24.75" x14ac:dyDescent="0.25">
      <c r="A5" s="8" t="s">
        <v>2353</v>
      </c>
      <c r="B5" s="2" t="s">
        <v>2354</v>
      </c>
      <c r="C5" s="4">
        <v>1</v>
      </c>
      <c r="D5" s="6">
        <v>112.5</v>
      </c>
      <c r="E5" s="6">
        <v>112.5</v>
      </c>
      <c r="F5" s="9">
        <v>249.99</v>
      </c>
      <c r="G5" s="6">
        <v>249.99</v>
      </c>
      <c r="H5" s="4">
        <v>650738973001</v>
      </c>
      <c r="I5" s="2" t="s">
        <v>2026</v>
      </c>
      <c r="J5" s="10"/>
      <c r="K5" s="6"/>
      <c r="L5" s="6"/>
      <c r="M5" s="2" t="s">
        <v>2343</v>
      </c>
      <c r="N5" s="2" t="s">
        <v>2350</v>
      </c>
      <c r="O5" s="2" t="s">
        <v>2351</v>
      </c>
      <c r="P5" s="2" t="s">
        <v>1988</v>
      </c>
      <c r="Q5" s="2" t="s">
        <v>2352</v>
      </c>
      <c r="R5" s="11" t="str">
        <f>HYPERLINK("http://images.bloomingdales.com/is/image/BLM/10122166 ")</f>
        <v xml:space="preserve">http://images.bloomingdales.com/is/image/BLM/10122166 </v>
      </c>
    </row>
    <row r="6" spans="1:18" ht="180.75" x14ac:dyDescent="0.25">
      <c r="A6" s="8" t="s">
        <v>2355</v>
      </c>
      <c r="B6" s="2" t="s">
        <v>2356</v>
      </c>
      <c r="C6" s="4">
        <v>1</v>
      </c>
      <c r="D6" s="6">
        <v>65.09</v>
      </c>
      <c r="E6" s="6">
        <v>65.09</v>
      </c>
      <c r="F6" s="9">
        <v>179.99</v>
      </c>
      <c r="G6" s="6">
        <v>179.99</v>
      </c>
      <c r="H6" s="4" t="s">
        <v>2357</v>
      </c>
      <c r="I6" s="2" t="s">
        <v>2358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2359</v>
      </c>
      <c r="R6" s="11" t="str">
        <f>HYPERLINK("http://slimages.macys.com/is/image/MCY/9627936 ")</f>
        <v xml:space="preserve">http://slimages.macys.com/is/image/MCY/9627936 </v>
      </c>
    </row>
    <row r="7" spans="1:18" ht="156.75" x14ac:dyDescent="0.25">
      <c r="A7" s="8" t="s">
        <v>2360</v>
      </c>
      <c r="B7" s="2" t="s">
        <v>2361</v>
      </c>
      <c r="C7" s="4">
        <v>1</v>
      </c>
      <c r="D7" s="6">
        <v>56.42</v>
      </c>
      <c r="E7" s="6">
        <v>56.42</v>
      </c>
      <c r="F7" s="9">
        <v>149.99</v>
      </c>
      <c r="G7" s="6">
        <v>149.99</v>
      </c>
      <c r="H7" s="4" t="s">
        <v>2362</v>
      </c>
      <c r="I7" s="2" t="s">
        <v>1993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2363</v>
      </c>
      <c r="R7" s="11" t="str">
        <f>HYPERLINK("http://slimages.macys.com/is/image/MCY/9627969 ")</f>
        <v xml:space="preserve">http://slimages.macys.com/is/image/MCY/9627969 </v>
      </c>
    </row>
    <row r="8" spans="1:18" ht="144.75" x14ac:dyDescent="0.25">
      <c r="A8" s="8" t="s">
        <v>2364</v>
      </c>
      <c r="B8" s="2" t="s">
        <v>2365</v>
      </c>
      <c r="C8" s="4">
        <v>1</v>
      </c>
      <c r="D8" s="6">
        <v>56.42</v>
      </c>
      <c r="E8" s="6">
        <v>56.42</v>
      </c>
      <c r="F8" s="9">
        <v>149.99</v>
      </c>
      <c r="G8" s="6">
        <v>149.99</v>
      </c>
      <c r="H8" s="4" t="s">
        <v>2366</v>
      </c>
      <c r="I8" s="2" t="s">
        <v>1993</v>
      </c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2124</v>
      </c>
      <c r="R8" s="11" t="str">
        <f>HYPERLINK("http://slimages.macys.com/is/image/MCY/9627785 ")</f>
        <v xml:space="preserve">http://slimages.macys.com/is/image/MCY/9627785 </v>
      </c>
    </row>
    <row r="9" spans="1:18" ht="96.75" x14ac:dyDescent="0.25">
      <c r="A9" s="8" t="s">
        <v>2367</v>
      </c>
      <c r="B9" s="2" t="s">
        <v>2368</v>
      </c>
      <c r="C9" s="4">
        <v>1</v>
      </c>
      <c r="D9" s="6">
        <v>52.07</v>
      </c>
      <c r="E9" s="6">
        <v>52.07</v>
      </c>
      <c r="F9" s="9">
        <v>139.99</v>
      </c>
      <c r="G9" s="6">
        <v>139.99</v>
      </c>
      <c r="H9" s="4" t="s">
        <v>2369</v>
      </c>
      <c r="I9" s="2"/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2370</v>
      </c>
      <c r="R9" s="11" t="str">
        <f>HYPERLINK("http://slimages.macys.com/is/image/MCY/9627942 ")</f>
        <v xml:space="preserve">http://slimages.macys.com/is/image/MCY/9627942 </v>
      </c>
    </row>
    <row r="10" spans="1:18" ht="48.75" x14ac:dyDescent="0.25">
      <c r="A10" s="8" t="s">
        <v>2371</v>
      </c>
      <c r="B10" s="2" t="s">
        <v>2372</v>
      </c>
      <c r="C10" s="4">
        <v>1</v>
      </c>
      <c r="D10" s="6">
        <v>44.2</v>
      </c>
      <c r="E10" s="6">
        <v>44.2</v>
      </c>
      <c r="F10" s="9">
        <v>110.99</v>
      </c>
      <c r="G10" s="6">
        <v>110.99</v>
      </c>
      <c r="H10" s="4" t="s">
        <v>2373</v>
      </c>
      <c r="I10" s="2" t="s">
        <v>2026</v>
      </c>
      <c r="J10" s="10" t="s">
        <v>2374</v>
      </c>
      <c r="K10" s="6"/>
      <c r="L10" s="6"/>
      <c r="M10" s="2" t="s">
        <v>1970</v>
      </c>
      <c r="N10" s="2" t="s">
        <v>2005</v>
      </c>
      <c r="O10" s="2" t="s">
        <v>2038</v>
      </c>
      <c r="P10" s="2" t="s">
        <v>1988</v>
      </c>
      <c r="Q10" s="2" t="s">
        <v>2375</v>
      </c>
      <c r="R10" s="11" t="str">
        <f>HYPERLINK("http://slimages.macys.com/is/image/MCY/11798808 ")</f>
        <v xml:space="preserve">http://slimages.macys.com/is/image/MCY/11798808 </v>
      </c>
    </row>
    <row r="11" spans="1:18" ht="36.75" x14ac:dyDescent="0.25">
      <c r="A11" s="8" t="s">
        <v>2376</v>
      </c>
      <c r="B11" s="2" t="s">
        <v>2377</v>
      </c>
      <c r="C11" s="4">
        <v>1</v>
      </c>
      <c r="D11" s="6">
        <v>49.1</v>
      </c>
      <c r="E11" s="6">
        <v>49.1</v>
      </c>
      <c r="F11" s="9">
        <v>133.99</v>
      </c>
      <c r="G11" s="6">
        <v>133.99</v>
      </c>
      <c r="H11" s="4" t="s">
        <v>2378</v>
      </c>
      <c r="I11" s="2" t="s">
        <v>2071</v>
      </c>
      <c r="J11" s="10"/>
      <c r="K11" s="6"/>
      <c r="L11" s="6"/>
      <c r="M11" s="2" t="s">
        <v>1970</v>
      </c>
      <c r="N11" s="2" t="s">
        <v>1986</v>
      </c>
      <c r="O11" s="2" t="s">
        <v>1987</v>
      </c>
      <c r="P11" s="2" t="s">
        <v>1988</v>
      </c>
      <c r="Q11" s="2" t="s">
        <v>2379</v>
      </c>
      <c r="R11" s="11" t="str">
        <f>HYPERLINK("http://slimages.macys.com/is/image/MCY/14429208 ")</f>
        <v xml:space="preserve">http://slimages.macys.com/is/image/MCY/14429208 </v>
      </c>
    </row>
    <row r="12" spans="1:18" ht="24.75" x14ac:dyDescent="0.25">
      <c r="A12" s="8" t="s">
        <v>2380</v>
      </c>
      <c r="B12" s="2" t="s">
        <v>2381</v>
      </c>
      <c r="C12" s="4">
        <v>1</v>
      </c>
      <c r="D12" s="6">
        <v>40.6</v>
      </c>
      <c r="E12" s="6">
        <v>40.6</v>
      </c>
      <c r="F12" s="9">
        <v>119.99</v>
      </c>
      <c r="G12" s="6">
        <v>119.99</v>
      </c>
      <c r="H12" s="4" t="s">
        <v>2382</v>
      </c>
      <c r="I12" s="2" t="s">
        <v>2048</v>
      </c>
      <c r="J12" s="10"/>
      <c r="K12" s="6"/>
      <c r="L12" s="6"/>
      <c r="M12" s="2" t="s">
        <v>1970</v>
      </c>
      <c r="N12" s="2" t="s">
        <v>2012</v>
      </c>
      <c r="O12" s="2" t="s">
        <v>2013</v>
      </c>
      <c r="P12" s="2" t="s">
        <v>1988</v>
      </c>
      <c r="Q12" s="2" t="s">
        <v>1995</v>
      </c>
      <c r="R12" s="11" t="str">
        <f>HYPERLINK("http://slimages.macys.com/is/image/MCY/10341150 ")</f>
        <v xml:space="preserve">http://slimages.macys.com/is/image/MCY/10341150 </v>
      </c>
    </row>
    <row r="13" spans="1:18" ht="24.75" x14ac:dyDescent="0.25">
      <c r="A13" s="8" t="s">
        <v>2383</v>
      </c>
      <c r="B13" s="2" t="s">
        <v>2384</v>
      </c>
      <c r="C13" s="4">
        <v>2</v>
      </c>
      <c r="D13" s="6">
        <v>42.57</v>
      </c>
      <c r="E13" s="6">
        <v>85.14</v>
      </c>
      <c r="F13" s="9">
        <v>99.99</v>
      </c>
      <c r="G13" s="6">
        <v>199.98</v>
      </c>
      <c r="H13" s="4" t="s">
        <v>2385</v>
      </c>
      <c r="I13" s="2" t="s">
        <v>2283</v>
      </c>
      <c r="J13" s="10"/>
      <c r="K13" s="6"/>
      <c r="L13" s="6"/>
      <c r="M13" s="2" t="s">
        <v>1970</v>
      </c>
      <c r="N13" s="2" t="s">
        <v>2386</v>
      </c>
      <c r="O13" s="2" t="s">
        <v>2387</v>
      </c>
      <c r="P13" s="2" t="s">
        <v>1988</v>
      </c>
      <c r="Q13" s="2"/>
      <c r="R13" s="11" t="str">
        <f>HYPERLINK("http://slimages.macys.com/is/image/MCY/14607099 ")</f>
        <v xml:space="preserve">http://slimages.macys.com/is/image/MCY/14607099 </v>
      </c>
    </row>
    <row r="14" spans="1:18" ht="24.75" x14ac:dyDescent="0.25">
      <c r="A14" s="8" t="s">
        <v>2388</v>
      </c>
      <c r="B14" s="2" t="s">
        <v>2384</v>
      </c>
      <c r="C14" s="4">
        <v>1</v>
      </c>
      <c r="D14" s="6">
        <v>42.57</v>
      </c>
      <c r="E14" s="6">
        <v>42.57</v>
      </c>
      <c r="F14" s="9">
        <v>99.99</v>
      </c>
      <c r="G14" s="6">
        <v>99.99</v>
      </c>
      <c r="H14" s="4" t="s">
        <v>2385</v>
      </c>
      <c r="I14" s="2" t="s">
        <v>2162</v>
      </c>
      <c r="J14" s="10"/>
      <c r="K14" s="6"/>
      <c r="L14" s="6"/>
      <c r="M14" s="2" t="s">
        <v>1970</v>
      </c>
      <c r="N14" s="2" t="s">
        <v>2386</v>
      </c>
      <c r="O14" s="2" t="s">
        <v>2387</v>
      </c>
      <c r="P14" s="2" t="s">
        <v>1988</v>
      </c>
      <c r="Q14" s="2"/>
      <c r="R14" s="11" t="str">
        <f>HYPERLINK("http://slimages.macys.com/is/image/MCY/14607099 ")</f>
        <v xml:space="preserve">http://slimages.macys.com/is/image/MCY/14607099 </v>
      </c>
    </row>
    <row r="15" spans="1:18" ht="144.75" x14ac:dyDescent="0.25">
      <c r="A15" s="8" t="s">
        <v>2389</v>
      </c>
      <c r="B15" s="2" t="s">
        <v>2390</v>
      </c>
      <c r="C15" s="4">
        <v>1</v>
      </c>
      <c r="D15" s="6">
        <v>34.72</v>
      </c>
      <c r="E15" s="6">
        <v>34.72</v>
      </c>
      <c r="F15" s="9">
        <v>124.99</v>
      </c>
      <c r="G15" s="6">
        <v>124.99</v>
      </c>
      <c r="H15" s="4" t="s">
        <v>2391</v>
      </c>
      <c r="I15" s="2" t="s">
        <v>2017</v>
      </c>
      <c r="J15" s="10"/>
      <c r="K15" s="6"/>
      <c r="L15" s="6"/>
      <c r="M15" s="2" t="s">
        <v>1970</v>
      </c>
      <c r="N15" s="2" t="s">
        <v>1986</v>
      </c>
      <c r="O15" s="2" t="s">
        <v>1987</v>
      </c>
      <c r="P15" s="2" t="s">
        <v>1988</v>
      </c>
      <c r="Q15" s="2" t="s">
        <v>2392</v>
      </c>
      <c r="R15" s="11" t="str">
        <f>HYPERLINK("http://slimages.macys.com/is/image/MCY/12490019 ")</f>
        <v xml:space="preserve">http://slimages.macys.com/is/image/MCY/12490019 </v>
      </c>
    </row>
    <row r="16" spans="1:18" ht="24.75" x14ac:dyDescent="0.25">
      <c r="A16" s="8" t="s">
        <v>2393</v>
      </c>
      <c r="B16" s="2" t="s">
        <v>2394</v>
      </c>
      <c r="C16" s="4">
        <v>1</v>
      </c>
      <c r="D16" s="6">
        <v>25</v>
      </c>
      <c r="E16" s="6">
        <v>25</v>
      </c>
      <c r="F16" s="9">
        <v>60</v>
      </c>
      <c r="G16" s="6">
        <v>60</v>
      </c>
      <c r="H16" s="4" t="s">
        <v>2395</v>
      </c>
      <c r="I16" s="2" t="s">
        <v>2026</v>
      </c>
      <c r="J16" s="10"/>
      <c r="K16" s="6"/>
      <c r="L16" s="6"/>
      <c r="M16" s="2" t="s">
        <v>2343</v>
      </c>
      <c r="N16" s="2" t="s">
        <v>2396</v>
      </c>
      <c r="O16" s="2" t="s">
        <v>2397</v>
      </c>
      <c r="P16" s="2"/>
      <c r="Q16" s="2"/>
      <c r="R16" s="11" t="str">
        <f>HYPERLINK("http://slimages.macys.com/is/image/MCY/2062952 ")</f>
        <v xml:space="preserve">http://slimages.macys.com/is/image/MCY/2062952 </v>
      </c>
    </row>
    <row r="17" spans="1:18" ht="24.75" x14ac:dyDescent="0.25">
      <c r="A17" s="8" t="s">
        <v>2398</v>
      </c>
      <c r="B17" s="2" t="s">
        <v>2399</v>
      </c>
      <c r="C17" s="4">
        <v>1</v>
      </c>
      <c r="D17" s="6">
        <v>24</v>
      </c>
      <c r="E17" s="6">
        <v>24</v>
      </c>
      <c r="F17" s="9">
        <v>48</v>
      </c>
      <c r="G17" s="6">
        <v>48</v>
      </c>
      <c r="H17" s="4" t="s">
        <v>2400</v>
      </c>
      <c r="I17" s="2" t="s">
        <v>2106</v>
      </c>
      <c r="J17" s="10"/>
      <c r="K17" s="6"/>
      <c r="L17" s="6"/>
      <c r="M17" s="2" t="s">
        <v>2343</v>
      </c>
      <c r="N17" s="2" t="s">
        <v>2396</v>
      </c>
      <c r="O17" s="2" t="s">
        <v>2401</v>
      </c>
      <c r="P17" s="2"/>
      <c r="Q17" s="2"/>
      <c r="R17" s="11" t="str">
        <f>HYPERLINK("http://images.bloomingdales.com/is/image/BLM/1188425 ")</f>
        <v xml:space="preserve">http://images.bloomingdales.com/is/image/BLM/1188425 </v>
      </c>
    </row>
    <row r="18" spans="1:18" ht="24.75" x14ac:dyDescent="0.25">
      <c r="A18" s="8" t="s">
        <v>2402</v>
      </c>
      <c r="B18" s="2" t="s">
        <v>2403</v>
      </c>
      <c r="C18" s="4">
        <v>1</v>
      </c>
      <c r="D18" s="6">
        <v>23</v>
      </c>
      <c r="E18" s="6">
        <v>23</v>
      </c>
      <c r="F18" s="9">
        <v>46</v>
      </c>
      <c r="G18" s="6">
        <v>46</v>
      </c>
      <c r="H18" s="4" t="s">
        <v>2404</v>
      </c>
      <c r="I18" s="2" t="s">
        <v>2106</v>
      </c>
      <c r="J18" s="10" t="s">
        <v>2107</v>
      </c>
      <c r="K18" s="6"/>
      <c r="L18" s="6"/>
      <c r="M18" s="2" t="s">
        <v>2343</v>
      </c>
      <c r="N18" s="2" t="s">
        <v>2396</v>
      </c>
      <c r="O18" s="2" t="s">
        <v>2401</v>
      </c>
      <c r="P18" s="2" t="s">
        <v>2039</v>
      </c>
      <c r="Q18" s="2"/>
      <c r="R18" s="11" t="str">
        <f>HYPERLINK("http://images.bloomingdales.com/is/image/BLM/10644120 ")</f>
        <v xml:space="preserve">http://images.bloomingdales.com/is/image/BLM/10644120 </v>
      </c>
    </row>
    <row r="19" spans="1:18" ht="24.75" x14ac:dyDescent="0.25">
      <c r="A19" s="8" t="s">
        <v>2405</v>
      </c>
      <c r="B19" s="2" t="s">
        <v>2406</v>
      </c>
      <c r="C19" s="4">
        <v>1</v>
      </c>
      <c r="D19" s="6">
        <v>22.42</v>
      </c>
      <c r="E19" s="6">
        <v>22.42</v>
      </c>
      <c r="F19" s="9">
        <v>79.989999999999995</v>
      </c>
      <c r="G19" s="6">
        <v>79.989999999999995</v>
      </c>
      <c r="H19" s="4">
        <v>1000315100</v>
      </c>
      <c r="I19" s="2" t="s">
        <v>2017</v>
      </c>
      <c r="J19" s="10" t="s">
        <v>2407</v>
      </c>
      <c r="K19" s="6"/>
      <c r="L19" s="6"/>
      <c r="M19" s="2" t="s">
        <v>2343</v>
      </c>
      <c r="N19" s="2" t="s">
        <v>2396</v>
      </c>
      <c r="O19" s="2" t="s">
        <v>2408</v>
      </c>
      <c r="P19" s="2"/>
      <c r="Q19" s="2"/>
      <c r="R19" s="11" t="str">
        <f>HYPERLINK("http://slimages.macys.com/is/image/MCY/2326270 ")</f>
        <v xml:space="preserve">http://slimages.macys.com/is/image/MCY/2326270 </v>
      </c>
    </row>
    <row r="20" spans="1:18" ht="108.75" x14ac:dyDescent="0.25">
      <c r="A20" s="8" t="s">
        <v>2409</v>
      </c>
      <c r="B20" s="2" t="s">
        <v>2410</v>
      </c>
      <c r="C20" s="4">
        <v>1</v>
      </c>
      <c r="D20" s="6">
        <v>26.04</v>
      </c>
      <c r="E20" s="6">
        <v>26.04</v>
      </c>
      <c r="F20" s="9">
        <v>69.989999999999995</v>
      </c>
      <c r="G20" s="6">
        <v>69.989999999999995</v>
      </c>
      <c r="H20" s="4" t="s">
        <v>2411</v>
      </c>
      <c r="I20" s="2" t="s">
        <v>2048</v>
      </c>
      <c r="J20" s="10"/>
      <c r="K20" s="6"/>
      <c r="L20" s="6"/>
      <c r="M20" s="2" t="s">
        <v>1970</v>
      </c>
      <c r="N20" s="2" t="s">
        <v>1986</v>
      </c>
      <c r="O20" s="2" t="s">
        <v>1987</v>
      </c>
      <c r="P20" s="2" t="s">
        <v>1988</v>
      </c>
      <c r="Q20" s="2" t="s">
        <v>2412</v>
      </c>
      <c r="R20" s="11" t="str">
        <f>HYPERLINK("http://slimages.macys.com/is/image/MCY/9566779 ")</f>
        <v xml:space="preserve">http://slimages.macys.com/is/image/MCY/9566779 </v>
      </c>
    </row>
    <row r="21" spans="1:18" ht="24.75" x14ac:dyDescent="0.25">
      <c r="A21" s="8" t="s">
        <v>2413</v>
      </c>
      <c r="B21" s="2" t="s">
        <v>2414</v>
      </c>
      <c r="C21" s="4">
        <v>1</v>
      </c>
      <c r="D21" s="6">
        <v>19.77</v>
      </c>
      <c r="E21" s="6">
        <v>19.77</v>
      </c>
      <c r="F21" s="9">
        <v>47.99</v>
      </c>
      <c r="G21" s="6">
        <v>47.99</v>
      </c>
      <c r="H21" s="4" t="s">
        <v>2415</v>
      </c>
      <c r="I21" s="2" t="s">
        <v>2266</v>
      </c>
      <c r="J21" s="10"/>
      <c r="K21" s="6"/>
      <c r="L21" s="6"/>
      <c r="M21" s="2" t="s">
        <v>1970</v>
      </c>
      <c r="N21" s="2" t="s">
        <v>2012</v>
      </c>
      <c r="O21" s="2" t="s">
        <v>2416</v>
      </c>
      <c r="P21" s="2" t="s">
        <v>1988</v>
      </c>
      <c r="Q21" s="2" t="s">
        <v>1995</v>
      </c>
      <c r="R21" s="11" t="str">
        <f>HYPERLINK("http://slimages.macys.com/is/image/MCY/3465217 ")</f>
        <v xml:space="preserve">http://slimages.macys.com/is/image/MCY/3465217 </v>
      </c>
    </row>
    <row r="22" spans="1:18" ht="24.75" x14ac:dyDescent="0.25">
      <c r="A22" s="8" t="s">
        <v>2417</v>
      </c>
      <c r="B22" s="2" t="s">
        <v>2418</v>
      </c>
      <c r="C22" s="4">
        <v>1</v>
      </c>
      <c r="D22" s="6">
        <v>16.670000000000002</v>
      </c>
      <c r="E22" s="6">
        <v>16.670000000000002</v>
      </c>
      <c r="F22" s="9">
        <v>37.99</v>
      </c>
      <c r="G22" s="6">
        <v>37.99</v>
      </c>
      <c r="H22" s="4" t="s">
        <v>2419</v>
      </c>
      <c r="I22" s="2" t="s">
        <v>2120</v>
      </c>
      <c r="J22" s="10" t="s">
        <v>2072</v>
      </c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 t="s">
        <v>2420</v>
      </c>
      <c r="R22" s="11" t="str">
        <f>HYPERLINK("http://slimages.macys.com/is/image/MCY/9602308 ")</f>
        <v xml:space="preserve">http://slimages.macys.com/is/image/MCY/9602308 </v>
      </c>
    </row>
    <row r="23" spans="1:18" ht="24.75" x14ac:dyDescent="0.25">
      <c r="A23" s="8" t="s">
        <v>2421</v>
      </c>
      <c r="B23" s="2" t="s">
        <v>2422</v>
      </c>
      <c r="C23" s="4">
        <v>1</v>
      </c>
      <c r="D23" s="6">
        <v>15.6</v>
      </c>
      <c r="E23" s="6">
        <v>15.6</v>
      </c>
      <c r="F23" s="9">
        <v>34.99</v>
      </c>
      <c r="G23" s="6">
        <v>34.99</v>
      </c>
      <c r="H23" s="4" t="s">
        <v>2423</v>
      </c>
      <c r="I23" s="2" t="s">
        <v>2424</v>
      </c>
      <c r="J23" s="10" t="s">
        <v>2425</v>
      </c>
      <c r="K23" s="6"/>
      <c r="L23" s="6"/>
      <c r="M23" s="2" t="s">
        <v>1970</v>
      </c>
      <c r="N23" s="2" t="s">
        <v>2012</v>
      </c>
      <c r="O23" s="2" t="s">
        <v>2426</v>
      </c>
      <c r="P23" s="2" t="s">
        <v>1988</v>
      </c>
      <c r="Q23" s="2"/>
      <c r="R23" s="11" t="str">
        <f>HYPERLINK("http://slimages.macys.com/is/image/MCY/16008349 ")</f>
        <v xml:space="preserve">http://slimages.macys.com/is/image/MCY/16008349 </v>
      </c>
    </row>
    <row r="24" spans="1:18" ht="24.75" x14ac:dyDescent="0.25">
      <c r="A24" s="8" t="s">
        <v>2427</v>
      </c>
      <c r="B24" s="2" t="s">
        <v>2428</v>
      </c>
      <c r="C24" s="4">
        <v>1</v>
      </c>
      <c r="D24" s="6">
        <v>15.6</v>
      </c>
      <c r="E24" s="6">
        <v>15.6</v>
      </c>
      <c r="F24" s="9">
        <v>34.99</v>
      </c>
      <c r="G24" s="6">
        <v>34.99</v>
      </c>
      <c r="H24" s="4" t="s">
        <v>2429</v>
      </c>
      <c r="I24" s="2" t="s">
        <v>2430</v>
      </c>
      <c r="J24" s="10" t="s">
        <v>2431</v>
      </c>
      <c r="K24" s="6"/>
      <c r="L24" s="6"/>
      <c r="M24" s="2" t="s">
        <v>1970</v>
      </c>
      <c r="N24" s="2" t="s">
        <v>2012</v>
      </c>
      <c r="O24" s="2" t="s">
        <v>2426</v>
      </c>
      <c r="P24" s="2" t="s">
        <v>1988</v>
      </c>
      <c r="Q24" s="2"/>
      <c r="R24" s="11" t="str">
        <f>HYPERLINK("http://slimages.macys.com/is/image/MCY/16008345 ")</f>
        <v xml:space="preserve">http://slimages.macys.com/is/image/MCY/16008345 </v>
      </c>
    </row>
    <row r="25" spans="1:18" ht="24.75" x14ac:dyDescent="0.25">
      <c r="A25" s="8" t="s">
        <v>2432</v>
      </c>
      <c r="B25" s="2" t="s">
        <v>2433</v>
      </c>
      <c r="C25" s="4">
        <v>1</v>
      </c>
      <c r="D25" s="6">
        <v>15.6</v>
      </c>
      <c r="E25" s="6">
        <v>15.6</v>
      </c>
      <c r="F25" s="9">
        <v>34.99</v>
      </c>
      <c r="G25" s="6">
        <v>34.99</v>
      </c>
      <c r="H25" s="4" t="s">
        <v>2434</v>
      </c>
      <c r="I25" s="2" t="s">
        <v>1985</v>
      </c>
      <c r="J25" s="10" t="s">
        <v>2072</v>
      </c>
      <c r="K25" s="6"/>
      <c r="L25" s="6"/>
      <c r="M25" s="2" t="s">
        <v>1970</v>
      </c>
      <c r="N25" s="2" t="s">
        <v>2012</v>
      </c>
      <c r="O25" s="2" t="s">
        <v>2426</v>
      </c>
      <c r="P25" s="2" t="s">
        <v>1988</v>
      </c>
      <c r="Q25" s="2"/>
      <c r="R25" s="11" t="str">
        <f>HYPERLINK("http://slimages.macys.com/is/image/MCY/16008359 ")</f>
        <v xml:space="preserve">http://slimages.macys.com/is/image/MCY/16008359 </v>
      </c>
    </row>
    <row r="26" spans="1:18" ht="24.75" x14ac:dyDescent="0.25">
      <c r="A26" s="8" t="s">
        <v>2435</v>
      </c>
      <c r="B26" s="2" t="s">
        <v>2436</v>
      </c>
      <c r="C26" s="4">
        <v>1</v>
      </c>
      <c r="D26" s="6">
        <v>17.75</v>
      </c>
      <c r="E26" s="6">
        <v>17.75</v>
      </c>
      <c r="F26" s="9">
        <v>52.99</v>
      </c>
      <c r="G26" s="6">
        <v>52.99</v>
      </c>
      <c r="H26" s="4" t="s">
        <v>2437</v>
      </c>
      <c r="I26" s="2" t="s">
        <v>2077</v>
      </c>
      <c r="J26" s="10" t="s">
        <v>2107</v>
      </c>
      <c r="K26" s="6"/>
      <c r="L26" s="6"/>
      <c r="M26" s="2" t="s">
        <v>1970</v>
      </c>
      <c r="N26" s="2" t="s">
        <v>1986</v>
      </c>
      <c r="O26" s="2" t="s">
        <v>2438</v>
      </c>
      <c r="P26" s="2" t="s">
        <v>1988</v>
      </c>
      <c r="Q26" s="2" t="s">
        <v>1995</v>
      </c>
      <c r="R26" s="11" t="str">
        <f>HYPERLINK("http://slimages.macys.com/is/image/MCY/14748431 ")</f>
        <v xml:space="preserve">http://slimages.macys.com/is/image/MCY/14748431 </v>
      </c>
    </row>
    <row r="27" spans="1:18" ht="24.75" x14ac:dyDescent="0.25">
      <c r="A27" s="8" t="s">
        <v>2439</v>
      </c>
      <c r="B27" s="2" t="s">
        <v>2440</v>
      </c>
      <c r="C27" s="4">
        <v>1</v>
      </c>
      <c r="D27" s="6">
        <v>16.649999999999999</v>
      </c>
      <c r="E27" s="6">
        <v>16.649999999999999</v>
      </c>
      <c r="F27" s="9">
        <v>39.99</v>
      </c>
      <c r="G27" s="6">
        <v>39.99</v>
      </c>
      <c r="H27" s="4" t="s">
        <v>2441</v>
      </c>
      <c r="I27" s="2" t="s">
        <v>2442</v>
      </c>
      <c r="J27" s="10"/>
      <c r="K27" s="6"/>
      <c r="L27" s="6"/>
      <c r="M27" s="2" t="s">
        <v>1970</v>
      </c>
      <c r="N27" s="2" t="s">
        <v>2167</v>
      </c>
      <c r="O27" s="2" t="s">
        <v>2443</v>
      </c>
      <c r="P27" s="2" t="s">
        <v>1988</v>
      </c>
      <c r="Q27" s="2" t="s">
        <v>2444</v>
      </c>
      <c r="R27" s="11" t="str">
        <f>HYPERLINK("http://slimages.macys.com/is/image/MCY/8433243 ")</f>
        <v xml:space="preserve">http://slimages.macys.com/is/image/MCY/8433243 </v>
      </c>
    </row>
    <row r="28" spans="1:18" ht="24.75" x14ac:dyDescent="0.25">
      <c r="A28" s="8" t="s">
        <v>2445</v>
      </c>
      <c r="B28" s="2" t="s">
        <v>2446</v>
      </c>
      <c r="C28" s="4">
        <v>2</v>
      </c>
      <c r="D28" s="6">
        <v>13.9</v>
      </c>
      <c r="E28" s="6">
        <v>27.8</v>
      </c>
      <c r="F28" s="9">
        <v>29.99</v>
      </c>
      <c r="G28" s="6">
        <v>59.98</v>
      </c>
      <c r="H28" s="4" t="s">
        <v>2447</v>
      </c>
      <c r="I28" s="2"/>
      <c r="J28" s="10"/>
      <c r="K28" s="6"/>
      <c r="L28" s="6"/>
      <c r="M28" s="2" t="s">
        <v>1970</v>
      </c>
      <c r="N28" s="2" t="s">
        <v>2012</v>
      </c>
      <c r="O28" s="2" t="s">
        <v>2448</v>
      </c>
      <c r="P28" s="2" t="s">
        <v>1988</v>
      </c>
      <c r="Q28" s="2" t="s">
        <v>2449</v>
      </c>
      <c r="R28" s="11" t="str">
        <f>HYPERLINK("http://slimages.macys.com/is/image/MCY/16096291 ")</f>
        <v xml:space="preserve">http://slimages.macys.com/is/image/MCY/16096291 </v>
      </c>
    </row>
    <row r="29" spans="1:18" ht="24.75" x14ac:dyDescent="0.25">
      <c r="A29" s="8" t="s">
        <v>2450</v>
      </c>
      <c r="B29" s="2" t="s">
        <v>2451</v>
      </c>
      <c r="C29" s="4">
        <v>1</v>
      </c>
      <c r="D29" s="6">
        <v>13.5</v>
      </c>
      <c r="E29" s="6">
        <v>13.5</v>
      </c>
      <c r="F29" s="9">
        <v>29.99</v>
      </c>
      <c r="G29" s="6">
        <v>29.99</v>
      </c>
      <c r="H29" s="4" t="s">
        <v>2452</v>
      </c>
      <c r="I29" s="2" t="s">
        <v>2252</v>
      </c>
      <c r="J29" s="10" t="s">
        <v>2107</v>
      </c>
      <c r="K29" s="6"/>
      <c r="L29" s="6"/>
      <c r="M29" s="2" t="s">
        <v>1970</v>
      </c>
      <c r="N29" s="2" t="s">
        <v>2012</v>
      </c>
      <c r="O29" s="2" t="s">
        <v>2062</v>
      </c>
      <c r="P29" s="2" t="s">
        <v>1988</v>
      </c>
      <c r="Q29" s="2" t="s">
        <v>2310</v>
      </c>
      <c r="R29" s="11" t="str">
        <f>HYPERLINK("http://slimages.macys.com/is/image/MCY/9456393 ")</f>
        <v xml:space="preserve">http://slimages.macys.com/is/image/MCY/9456393 </v>
      </c>
    </row>
    <row r="30" spans="1:18" ht="24.75" x14ac:dyDescent="0.25">
      <c r="A30" s="8" t="s">
        <v>2453</v>
      </c>
      <c r="B30" s="2" t="s">
        <v>2454</v>
      </c>
      <c r="C30" s="4">
        <v>1</v>
      </c>
      <c r="D30" s="6">
        <v>12</v>
      </c>
      <c r="E30" s="6">
        <v>12</v>
      </c>
      <c r="F30" s="9">
        <v>24.99</v>
      </c>
      <c r="G30" s="6">
        <v>24.99</v>
      </c>
      <c r="H30" s="4" t="s">
        <v>2455</v>
      </c>
      <c r="I30" s="2" t="s">
        <v>2026</v>
      </c>
      <c r="J30" s="10" t="s">
        <v>2456</v>
      </c>
      <c r="K30" s="6"/>
      <c r="L30" s="6"/>
      <c r="M30" s="2" t="s">
        <v>1970</v>
      </c>
      <c r="N30" s="2" t="s">
        <v>2012</v>
      </c>
      <c r="O30" s="2" t="s">
        <v>2448</v>
      </c>
      <c r="P30" s="2" t="s">
        <v>1988</v>
      </c>
      <c r="Q30" s="2" t="s">
        <v>2457</v>
      </c>
      <c r="R30" s="11" t="str">
        <f>HYPERLINK("http://slimages.macys.com/is/image/MCY/11190279 ")</f>
        <v xml:space="preserve">http://slimages.macys.com/is/image/MCY/11190279 </v>
      </c>
    </row>
    <row r="31" spans="1:18" ht="24.75" x14ac:dyDescent="0.25">
      <c r="A31" s="8" t="s">
        <v>2458</v>
      </c>
      <c r="B31" s="2" t="s">
        <v>2459</v>
      </c>
      <c r="C31" s="4">
        <v>1</v>
      </c>
      <c r="D31" s="6">
        <v>10</v>
      </c>
      <c r="E31" s="6">
        <v>10</v>
      </c>
      <c r="F31" s="9">
        <v>23</v>
      </c>
      <c r="G31" s="6">
        <v>23</v>
      </c>
      <c r="H31" s="4" t="s">
        <v>2460</v>
      </c>
      <c r="I31" s="2" t="s">
        <v>2026</v>
      </c>
      <c r="J31" s="10"/>
      <c r="K31" s="6"/>
      <c r="L31" s="6"/>
      <c r="M31" s="2" t="s">
        <v>2343</v>
      </c>
      <c r="N31" s="2" t="s">
        <v>2396</v>
      </c>
      <c r="O31" s="2" t="s">
        <v>2397</v>
      </c>
      <c r="P31" s="2" t="s">
        <v>1988</v>
      </c>
      <c r="Q31" s="2" t="s">
        <v>2461</v>
      </c>
      <c r="R31" s="11" t="str">
        <f>HYPERLINK("http://slimages.macys.com/is/image/MCY/2062950 ")</f>
        <v xml:space="preserve">http://slimages.macys.com/is/image/MCY/2062950 </v>
      </c>
    </row>
    <row r="32" spans="1:18" ht="36.75" x14ac:dyDescent="0.25">
      <c r="A32" s="8" t="s">
        <v>2462</v>
      </c>
      <c r="B32" s="2" t="s">
        <v>2463</v>
      </c>
      <c r="C32" s="4">
        <v>1</v>
      </c>
      <c r="D32" s="6">
        <v>9.91</v>
      </c>
      <c r="E32" s="6">
        <v>9.91</v>
      </c>
      <c r="F32" s="9">
        <v>22.99</v>
      </c>
      <c r="G32" s="6">
        <v>22.99</v>
      </c>
      <c r="H32" s="4" t="s">
        <v>2464</v>
      </c>
      <c r="I32" s="2" t="s">
        <v>2017</v>
      </c>
      <c r="J32" s="10"/>
      <c r="K32" s="6"/>
      <c r="L32" s="6"/>
      <c r="M32" s="2" t="s">
        <v>1970</v>
      </c>
      <c r="N32" s="2" t="s">
        <v>2012</v>
      </c>
      <c r="O32" s="2" t="s">
        <v>1987</v>
      </c>
      <c r="P32" s="2" t="s">
        <v>1988</v>
      </c>
      <c r="Q32" s="2" t="s">
        <v>2465</v>
      </c>
      <c r="R32" s="11" t="str">
        <f>HYPERLINK("http://slimages.macys.com/is/image/MCY/9607112 ")</f>
        <v xml:space="preserve">http://slimages.macys.com/is/image/MCY/9607112 </v>
      </c>
    </row>
    <row r="33" spans="1:18" ht="24.75" x14ac:dyDescent="0.25">
      <c r="A33" s="8" t="s">
        <v>2466</v>
      </c>
      <c r="B33" s="2" t="s">
        <v>2467</v>
      </c>
      <c r="C33" s="4">
        <v>1</v>
      </c>
      <c r="D33" s="6">
        <v>10.64</v>
      </c>
      <c r="E33" s="6">
        <v>10.64</v>
      </c>
      <c r="F33" s="9">
        <v>39.99</v>
      </c>
      <c r="G33" s="6">
        <v>39.99</v>
      </c>
      <c r="H33" s="4" t="s">
        <v>2468</v>
      </c>
      <c r="I33" s="2" t="s">
        <v>2026</v>
      </c>
      <c r="J33" s="10"/>
      <c r="K33" s="6"/>
      <c r="L33" s="6"/>
      <c r="M33" s="2" t="s">
        <v>1970</v>
      </c>
      <c r="N33" s="2" t="s">
        <v>2167</v>
      </c>
      <c r="O33" s="2" t="s">
        <v>2469</v>
      </c>
      <c r="P33" s="2" t="s">
        <v>1988</v>
      </c>
      <c r="Q33" s="2"/>
      <c r="R33" s="11" t="str">
        <f>HYPERLINK("http://slimages.macys.com/is/image/MCY/10015969 ")</f>
        <v xml:space="preserve">http://slimages.macys.com/is/image/MCY/10015969 </v>
      </c>
    </row>
    <row r="34" spans="1:18" ht="24.75" x14ac:dyDescent="0.25">
      <c r="A34" s="8" t="s">
        <v>2470</v>
      </c>
      <c r="B34" s="2" t="s">
        <v>2471</v>
      </c>
      <c r="C34" s="4">
        <v>1</v>
      </c>
      <c r="D34" s="6">
        <v>8.48</v>
      </c>
      <c r="E34" s="6">
        <v>8.48</v>
      </c>
      <c r="F34" s="9">
        <v>17.989999999999998</v>
      </c>
      <c r="G34" s="6">
        <v>17.989999999999998</v>
      </c>
      <c r="H34" s="4">
        <v>37355</v>
      </c>
      <c r="I34" s="2" t="s">
        <v>2026</v>
      </c>
      <c r="J34" s="10" t="s">
        <v>2472</v>
      </c>
      <c r="K34" s="6"/>
      <c r="L34" s="6"/>
      <c r="M34" s="2" t="s">
        <v>1970</v>
      </c>
      <c r="N34" s="2" t="s">
        <v>2012</v>
      </c>
      <c r="O34" s="2" t="s">
        <v>2203</v>
      </c>
      <c r="P34" s="2" t="s">
        <v>1988</v>
      </c>
      <c r="Q34" s="2" t="s">
        <v>1995</v>
      </c>
      <c r="R34" s="11" t="str">
        <f>HYPERLINK("http://slimages.macys.com/is/image/MCY/10009173 ")</f>
        <v xml:space="preserve">http://slimages.macys.com/is/image/MCY/10009173 </v>
      </c>
    </row>
    <row r="35" spans="1:18" ht="24.75" x14ac:dyDescent="0.25">
      <c r="A35" s="8" t="s">
        <v>2473</v>
      </c>
      <c r="B35" s="2" t="s">
        <v>2474</v>
      </c>
      <c r="C35" s="4">
        <v>1</v>
      </c>
      <c r="D35" s="6">
        <v>7</v>
      </c>
      <c r="E35" s="6">
        <v>7</v>
      </c>
      <c r="F35" s="9">
        <v>16</v>
      </c>
      <c r="G35" s="6">
        <v>16</v>
      </c>
      <c r="H35" s="4" t="s">
        <v>2475</v>
      </c>
      <c r="I35" s="2" t="s">
        <v>2026</v>
      </c>
      <c r="J35" s="10"/>
      <c r="K35" s="6"/>
      <c r="L35" s="6"/>
      <c r="M35" s="2" t="s">
        <v>2343</v>
      </c>
      <c r="N35" s="2" t="s">
        <v>2396</v>
      </c>
      <c r="O35" s="2" t="s">
        <v>2397</v>
      </c>
      <c r="P35" s="2" t="s">
        <v>1988</v>
      </c>
      <c r="Q35" s="2" t="s">
        <v>2461</v>
      </c>
      <c r="R35" s="11" t="str">
        <f>HYPERLINK("http://slimages.macys.com/is/image/MCY/10487528 ")</f>
        <v xml:space="preserve">http://slimages.macys.com/is/image/MCY/10487528 </v>
      </c>
    </row>
    <row r="36" spans="1:18" ht="24.75" x14ac:dyDescent="0.25">
      <c r="A36" s="8" t="s">
        <v>2476</v>
      </c>
      <c r="B36" s="2" t="s">
        <v>2477</v>
      </c>
      <c r="C36" s="4">
        <v>1</v>
      </c>
      <c r="D36" s="6">
        <v>7</v>
      </c>
      <c r="E36" s="6">
        <v>7</v>
      </c>
      <c r="F36" s="9">
        <v>15</v>
      </c>
      <c r="G36" s="6">
        <v>15</v>
      </c>
      <c r="H36" s="4" t="s">
        <v>2478</v>
      </c>
      <c r="I36" s="2" t="s">
        <v>2026</v>
      </c>
      <c r="J36" s="10"/>
      <c r="K36" s="6"/>
      <c r="L36" s="6"/>
      <c r="M36" s="2" t="s">
        <v>2343</v>
      </c>
      <c r="N36" s="2" t="s">
        <v>2396</v>
      </c>
      <c r="O36" s="2" t="s">
        <v>2397</v>
      </c>
      <c r="P36" s="2" t="s">
        <v>1988</v>
      </c>
      <c r="Q36" s="2" t="s">
        <v>2461</v>
      </c>
      <c r="R36" s="11" t="str">
        <f>HYPERLINK("http://slimages.macys.com/is/image/MCY/10487524 ")</f>
        <v xml:space="preserve">http://slimages.macys.com/is/image/MCY/10487524 </v>
      </c>
    </row>
    <row r="37" spans="1:18" ht="24.75" x14ac:dyDescent="0.25">
      <c r="A37" s="8" t="s">
        <v>2479</v>
      </c>
      <c r="B37" s="2" t="s">
        <v>2480</v>
      </c>
      <c r="C37" s="4">
        <v>4</v>
      </c>
      <c r="D37" s="6">
        <v>7.1</v>
      </c>
      <c r="E37" s="6">
        <v>28.4</v>
      </c>
      <c r="F37" s="9">
        <v>14.99</v>
      </c>
      <c r="G37" s="6">
        <v>59.96</v>
      </c>
      <c r="H37" s="4" t="s">
        <v>2481</v>
      </c>
      <c r="I37" s="2" t="s">
        <v>2120</v>
      </c>
      <c r="J37" s="10"/>
      <c r="K37" s="6"/>
      <c r="L37" s="6"/>
      <c r="M37" s="2" t="s">
        <v>1970</v>
      </c>
      <c r="N37" s="2" t="s">
        <v>2012</v>
      </c>
      <c r="O37" s="2" t="s">
        <v>2416</v>
      </c>
      <c r="P37" s="2" t="s">
        <v>1988</v>
      </c>
      <c r="Q37" s="2" t="s">
        <v>2482</v>
      </c>
      <c r="R37" s="11" t="str">
        <f>HYPERLINK("http://slimages.macys.com/is/image/MCY/531278 ")</f>
        <v xml:space="preserve">http://slimages.macys.com/is/image/MCY/531278 </v>
      </c>
    </row>
    <row r="38" spans="1:18" ht="24.75" x14ac:dyDescent="0.25">
      <c r="A38" s="8" t="s">
        <v>2483</v>
      </c>
      <c r="B38" s="2" t="s">
        <v>2484</v>
      </c>
      <c r="C38" s="4">
        <v>2</v>
      </c>
      <c r="D38" s="6">
        <v>6.88</v>
      </c>
      <c r="E38" s="6">
        <v>13.76</v>
      </c>
      <c r="F38" s="9">
        <v>29.99</v>
      </c>
      <c r="G38" s="6">
        <v>59.98</v>
      </c>
      <c r="H38" s="4" t="s">
        <v>2485</v>
      </c>
      <c r="I38" s="2" t="s">
        <v>2011</v>
      </c>
      <c r="J38" s="10"/>
      <c r="K38" s="6"/>
      <c r="L38" s="6"/>
      <c r="M38" s="2" t="s">
        <v>1970</v>
      </c>
      <c r="N38" s="2" t="s">
        <v>2167</v>
      </c>
      <c r="O38" s="2" t="s">
        <v>2443</v>
      </c>
      <c r="P38" s="2" t="s">
        <v>1988</v>
      </c>
      <c r="Q38" s="2" t="s">
        <v>2095</v>
      </c>
      <c r="R38" s="11" t="str">
        <f>HYPERLINK("http://slimages.macys.com/is/image/MCY/8447369 ")</f>
        <v xml:space="preserve">http://slimages.macys.com/is/image/MCY/8447369 </v>
      </c>
    </row>
    <row r="39" spans="1:18" ht="24.75" x14ac:dyDescent="0.25">
      <c r="A39" s="8" t="s">
        <v>2486</v>
      </c>
      <c r="B39" s="2" t="s">
        <v>2487</v>
      </c>
      <c r="C39" s="4">
        <v>1</v>
      </c>
      <c r="D39" s="6">
        <v>5</v>
      </c>
      <c r="E39" s="6">
        <v>5</v>
      </c>
      <c r="F39" s="9">
        <v>12</v>
      </c>
      <c r="G39" s="6">
        <v>12</v>
      </c>
      <c r="H39" s="4" t="s">
        <v>2488</v>
      </c>
      <c r="I39" s="2" t="s">
        <v>2026</v>
      </c>
      <c r="J39" s="10"/>
      <c r="K39" s="6"/>
      <c r="L39" s="6"/>
      <c r="M39" s="2" t="s">
        <v>2343</v>
      </c>
      <c r="N39" s="2" t="s">
        <v>2396</v>
      </c>
      <c r="O39" s="2" t="s">
        <v>2397</v>
      </c>
      <c r="P39" s="2"/>
      <c r="Q39" s="2"/>
      <c r="R39" s="11" t="str">
        <f>HYPERLINK("http://slimages.macys.com/is/image/MCY/2062948 ")</f>
        <v xml:space="preserve">http://slimages.macys.com/is/image/MCY/2062948 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7"/>
  <sheetViews>
    <sheetView topLeftCell="A28" workbookViewId="0">
      <selection activeCell="I43" sqref="I43"/>
    </sheetView>
  </sheetViews>
  <sheetFormatPr defaultRowHeight="15" x14ac:dyDescent="0.25"/>
  <cols>
    <col min="1" max="1" width="14.28515625" customWidth="1"/>
    <col min="2" max="2" width="45.14062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24.75" x14ac:dyDescent="0.25">
      <c r="A2" s="8" t="s">
        <v>2489</v>
      </c>
      <c r="B2" s="2" t="s">
        <v>2490</v>
      </c>
      <c r="C2" s="4">
        <v>1</v>
      </c>
      <c r="D2" s="6">
        <v>85.4</v>
      </c>
      <c r="E2" s="6">
        <v>85.4</v>
      </c>
      <c r="F2" s="9">
        <v>189.99</v>
      </c>
      <c r="G2" s="6">
        <v>189.99</v>
      </c>
      <c r="H2" s="4" t="s">
        <v>2491</v>
      </c>
      <c r="I2" s="2" t="s">
        <v>2492</v>
      </c>
      <c r="J2" s="10"/>
      <c r="K2" s="6"/>
      <c r="L2" s="6"/>
      <c r="M2" s="2" t="s">
        <v>1970</v>
      </c>
      <c r="N2" s="2" t="s">
        <v>2032</v>
      </c>
      <c r="O2" s="2" t="s">
        <v>1987</v>
      </c>
      <c r="P2" s="2" t="s">
        <v>1988</v>
      </c>
      <c r="Q2" s="2" t="s">
        <v>2493</v>
      </c>
      <c r="R2" s="11" t="str">
        <f>HYPERLINK("http://slimages.macys.com/is/image/MCY/11856191 ")</f>
        <v xml:space="preserve">http://slimages.macys.com/is/image/MCY/11856191 </v>
      </c>
    </row>
    <row r="3" spans="1:18" ht="120.75" x14ac:dyDescent="0.25">
      <c r="A3" s="8" t="s">
        <v>2494</v>
      </c>
      <c r="B3" s="2" t="s">
        <v>2495</v>
      </c>
      <c r="C3" s="4">
        <v>1</v>
      </c>
      <c r="D3" s="6">
        <v>71.400000000000006</v>
      </c>
      <c r="E3" s="6">
        <v>71.400000000000006</v>
      </c>
      <c r="F3" s="9">
        <v>178.99</v>
      </c>
      <c r="G3" s="6">
        <v>178.99</v>
      </c>
      <c r="H3" s="4" t="s">
        <v>2496</v>
      </c>
      <c r="I3" s="2" t="s">
        <v>2017</v>
      </c>
      <c r="J3" s="10" t="s">
        <v>2497</v>
      </c>
      <c r="K3" s="6"/>
      <c r="L3" s="6"/>
      <c r="M3" s="2" t="s">
        <v>1970</v>
      </c>
      <c r="N3" s="2" t="s">
        <v>2005</v>
      </c>
      <c r="O3" s="2" t="s">
        <v>2498</v>
      </c>
      <c r="P3" s="2" t="s">
        <v>2499</v>
      </c>
      <c r="Q3" s="2" t="s">
        <v>2500</v>
      </c>
      <c r="R3" s="11" t="str">
        <f>HYPERLINK("http://slimages.macys.com/is/image/MCY/10036050 ")</f>
        <v xml:space="preserve">http://slimages.macys.com/is/image/MCY/10036050 </v>
      </c>
    </row>
    <row r="4" spans="1:18" ht="24.75" x14ac:dyDescent="0.25">
      <c r="A4" s="8" t="s">
        <v>2501</v>
      </c>
      <c r="B4" s="2" t="s">
        <v>2502</v>
      </c>
      <c r="C4" s="4">
        <v>1</v>
      </c>
      <c r="D4" s="6">
        <v>60.44</v>
      </c>
      <c r="E4" s="6">
        <v>60.44</v>
      </c>
      <c r="F4" s="9">
        <v>210.99</v>
      </c>
      <c r="G4" s="6">
        <v>210.99</v>
      </c>
      <c r="H4" s="4" t="s">
        <v>2503</v>
      </c>
      <c r="I4" s="2" t="s">
        <v>1993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2305</v>
      </c>
      <c r="R4" s="11" t="str">
        <f>HYPERLINK("http://slimages.macys.com/is/image/MCY/11825191 ")</f>
        <v xml:space="preserve">http://slimages.macys.com/is/image/MCY/11825191 </v>
      </c>
    </row>
    <row r="5" spans="1:18" ht="24.75" x14ac:dyDescent="0.25">
      <c r="A5" s="8" t="s">
        <v>2504</v>
      </c>
      <c r="B5" s="2" t="s">
        <v>2505</v>
      </c>
      <c r="C5" s="4">
        <v>1</v>
      </c>
      <c r="D5" s="6">
        <v>49.62</v>
      </c>
      <c r="E5" s="6">
        <v>49.62</v>
      </c>
      <c r="F5" s="9">
        <v>110.99</v>
      </c>
      <c r="G5" s="6">
        <v>110.99</v>
      </c>
      <c r="H5" s="4" t="s">
        <v>2506</v>
      </c>
      <c r="I5" s="2" t="s">
        <v>2021</v>
      </c>
      <c r="J5" s="10"/>
      <c r="K5" s="6"/>
      <c r="L5" s="6"/>
      <c r="M5" s="2" t="s">
        <v>1970</v>
      </c>
      <c r="N5" s="2" t="s">
        <v>2012</v>
      </c>
      <c r="O5" s="2" t="s">
        <v>1987</v>
      </c>
      <c r="P5" s="2" t="s">
        <v>1988</v>
      </c>
      <c r="Q5" s="2" t="s">
        <v>2507</v>
      </c>
      <c r="R5" s="11" t="str">
        <f>HYPERLINK("http://slimages.macys.com/is/image/MCY/12290540 ")</f>
        <v xml:space="preserve">http://slimages.macys.com/is/image/MCY/12290540 </v>
      </c>
    </row>
    <row r="6" spans="1:18" ht="48.75" x14ac:dyDescent="0.25">
      <c r="A6" s="8" t="s">
        <v>2508</v>
      </c>
      <c r="B6" s="2" t="s">
        <v>2509</v>
      </c>
      <c r="C6" s="4">
        <v>1</v>
      </c>
      <c r="D6" s="6">
        <v>47.63</v>
      </c>
      <c r="E6" s="6">
        <v>47.63</v>
      </c>
      <c r="F6" s="9">
        <v>105.99</v>
      </c>
      <c r="G6" s="6">
        <v>105.99</v>
      </c>
      <c r="H6" s="4" t="s">
        <v>2510</v>
      </c>
      <c r="I6" s="2" t="s">
        <v>2021</v>
      </c>
      <c r="J6" s="10"/>
      <c r="K6" s="6"/>
      <c r="L6" s="6"/>
      <c r="M6" s="2" t="s">
        <v>1970</v>
      </c>
      <c r="N6" s="2" t="s">
        <v>2012</v>
      </c>
      <c r="O6" s="2" t="s">
        <v>1987</v>
      </c>
      <c r="P6" s="2" t="s">
        <v>1988</v>
      </c>
      <c r="Q6" s="2" t="s">
        <v>2140</v>
      </c>
      <c r="R6" s="11" t="str">
        <f>HYPERLINK("http://slimages.macys.com/is/image/MCY/9798710 ")</f>
        <v xml:space="preserve">http://slimages.macys.com/is/image/MCY/9798710 </v>
      </c>
    </row>
    <row r="7" spans="1:18" ht="24.75" x14ac:dyDescent="0.25">
      <c r="A7" s="8" t="s">
        <v>2511</v>
      </c>
      <c r="B7" s="2" t="s">
        <v>2512</v>
      </c>
      <c r="C7" s="4">
        <v>1</v>
      </c>
      <c r="D7" s="6">
        <v>54.55</v>
      </c>
      <c r="E7" s="6">
        <v>54.55</v>
      </c>
      <c r="F7" s="9">
        <v>129.99</v>
      </c>
      <c r="G7" s="6">
        <v>129.99</v>
      </c>
      <c r="H7" s="4" t="s">
        <v>2513</v>
      </c>
      <c r="I7" s="2" t="s">
        <v>2430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2315</v>
      </c>
      <c r="R7" s="11" t="str">
        <f>HYPERLINK("http://slimages.macys.com/is/image/MCY/8930319 ")</f>
        <v xml:space="preserve">http://slimages.macys.com/is/image/MCY/8930319 </v>
      </c>
    </row>
    <row r="8" spans="1:18" ht="24.75" x14ac:dyDescent="0.25">
      <c r="A8" s="8" t="s">
        <v>2514</v>
      </c>
      <c r="B8" s="2" t="s">
        <v>2515</v>
      </c>
      <c r="C8" s="4">
        <v>1</v>
      </c>
      <c r="D8" s="6">
        <v>54.24</v>
      </c>
      <c r="E8" s="6">
        <v>54.24</v>
      </c>
      <c r="F8" s="9">
        <v>132.99</v>
      </c>
      <c r="G8" s="6">
        <v>132.99</v>
      </c>
      <c r="H8" s="4" t="s">
        <v>2516</v>
      </c>
      <c r="I8" s="2" t="s">
        <v>2071</v>
      </c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2053</v>
      </c>
      <c r="R8" s="11" t="str">
        <f>HYPERLINK("http://slimages.macys.com/is/image/MCY/9767724 ")</f>
        <v xml:space="preserve">http://slimages.macys.com/is/image/MCY/9767724 </v>
      </c>
    </row>
    <row r="9" spans="1:18" ht="24.75" x14ac:dyDescent="0.25">
      <c r="A9" s="8" t="s">
        <v>2517</v>
      </c>
      <c r="B9" s="2" t="s">
        <v>2518</v>
      </c>
      <c r="C9" s="4">
        <v>2</v>
      </c>
      <c r="D9" s="6">
        <v>36.4</v>
      </c>
      <c r="E9" s="6">
        <v>72.8</v>
      </c>
      <c r="F9" s="9">
        <v>107.99</v>
      </c>
      <c r="G9" s="6">
        <v>215.98</v>
      </c>
      <c r="H9" s="4" t="s">
        <v>2519</v>
      </c>
      <c r="I9" s="2" t="s">
        <v>2026</v>
      </c>
      <c r="J9" s="10"/>
      <c r="K9" s="6"/>
      <c r="L9" s="6"/>
      <c r="M9" s="2" t="s">
        <v>1970</v>
      </c>
      <c r="N9" s="2" t="s">
        <v>2012</v>
      </c>
      <c r="O9" s="2" t="s">
        <v>2013</v>
      </c>
      <c r="P9" s="2" t="s">
        <v>1988</v>
      </c>
      <c r="Q9" s="2" t="s">
        <v>1995</v>
      </c>
      <c r="R9" s="11" t="str">
        <f>HYPERLINK("http://slimages.macys.com/is/image/MCY/15417401 ")</f>
        <v xml:space="preserve">http://slimages.macys.com/is/image/MCY/15417401 </v>
      </c>
    </row>
    <row r="10" spans="1:18" ht="60.75" x14ac:dyDescent="0.25">
      <c r="A10" s="8" t="s">
        <v>2520</v>
      </c>
      <c r="B10" s="2" t="s">
        <v>2521</v>
      </c>
      <c r="C10" s="4">
        <v>1</v>
      </c>
      <c r="D10" s="6">
        <v>40.92</v>
      </c>
      <c r="E10" s="6">
        <v>40.92</v>
      </c>
      <c r="F10" s="9">
        <v>99.99</v>
      </c>
      <c r="G10" s="6">
        <v>99.99</v>
      </c>
      <c r="H10" s="4" t="s">
        <v>2522</v>
      </c>
      <c r="I10" s="2" t="s">
        <v>2017</v>
      </c>
      <c r="J10" s="10"/>
      <c r="K10" s="6"/>
      <c r="L10" s="6"/>
      <c r="M10" s="2" t="s">
        <v>1970</v>
      </c>
      <c r="N10" s="2" t="s">
        <v>1986</v>
      </c>
      <c r="O10" s="2" t="s">
        <v>1987</v>
      </c>
      <c r="P10" s="2" t="s">
        <v>1988</v>
      </c>
      <c r="Q10" s="2" t="s">
        <v>2523</v>
      </c>
      <c r="R10" s="11" t="str">
        <f>HYPERLINK("http://slimages.macys.com/is/image/MCY/9188022 ")</f>
        <v xml:space="preserve">http://slimages.macys.com/is/image/MCY/9188022 </v>
      </c>
    </row>
    <row r="11" spans="1:18" ht="24.75" x14ac:dyDescent="0.25">
      <c r="A11" s="8" t="s">
        <v>2524</v>
      </c>
      <c r="B11" s="2" t="s">
        <v>2525</v>
      </c>
      <c r="C11" s="4">
        <v>1</v>
      </c>
      <c r="D11" s="6">
        <v>40.659999999999997</v>
      </c>
      <c r="E11" s="6">
        <v>40.659999999999997</v>
      </c>
      <c r="F11" s="9">
        <v>111.99</v>
      </c>
      <c r="G11" s="6">
        <v>111.99</v>
      </c>
      <c r="H11" s="4" t="s">
        <v>2526</v>
      </c>
      <c r="I11" s="2"/>
      <c r="J11" s="10"/>
      <c r="K11" s="6"/>
      <c r="L11" s="6"/>
      <c r="M11" s="2" t="s">
        <v>1970</v>
      </c>
      <c r="N11" s="2" t="s">
        <v>1986</v>
      </c>
      <c r="O11" s="2" t="s">
        <v>1994</v>
      </c>
      <c r="P11" s="2" t="s">
        <v>1988</v>
      </c>
      <c r="Q11" s="2" t="s">
        <v>1995</v>
      </c>
      <c r="R11" s="11" t="str">
        <f>HYPERLINK("http://slimages.macys.com/is/image/MCY/16409234 ")</f>
        <v xml:space="preserve">http://slimages.macys.com/is/image/MCY/16409234 </v>
      </c>
    </row>
    <row r="12" spans="1:18" ht="24.75" x14ac:dyDescent="0.25">
      <c r="A12" s="8" t="s">
        <v>2527</v>
      </c>
      <c r="B12" s="2" t="s">
        <v>2528</v>
      </c>
      <c r="C12" s="4">
        <v>1</v>
      </c>
      <c r="D12" s="6">
        <v>34.5</v>
      </c>
      <c r="E12" s="6">
        <v>34.5</v>
      </c>
      <c r="F12" s="9">
        <v>83.99</v>
      </c>
      <c r="G12" s="6">
        <v>83.99</v>
      </c>
      <c r="H12" s="4" t="s">
        <v>2529</v>
      </c>
      <c r="I12" s="2" t="s">
        <v>2530</v>
      </c>
      <c r="J12" s="10"/>
      <c r="K12" s="6"/>
      <c r="L12" s="6"/>
      <c r="M12" s="2" t="s">
        <v>1970</v>
      </c>
      <c r="N12" s="2" t="s">
        <v>1986</v>
      </c>
      <c r="O12" s="2" t="s">
        <v>2531</v>
      </c>
      <c r="P12" s="2" t="s">
        <v>1988</v>
      </c>
      <c r="Q12" s="2" t="s">
        <v>2532</v>
      </c>
      <c r="R12" s="11" t="str">
        <f>HYPERLINK("http://slimages.macys.com/is/image/MCY/14516483 ")</f>
        <v xml:space="preserve">http://slimages.macys.com/is/image/MCY/14516483 </v>
      </c>
    </row>
    <row r="13" spans="1:18" ht="24.75" x14ac:dyDescent="0.25">
      <c r="A13" s="8" t="s">
        <v>2533</v>
      </c>
      <c r="B13" s="2" t="s">
        <v>2534</v>
      </c>
      <c r="C13" s="4">
        <v>1</v>
      </c>
      <c r="D13" s="6">
        <v>34.5</v>
      </c>
      <c r="E13" s="6">
        <v>34.5</v>
      </c>
      <c r="F13" s="9">
        <v>83.99</v>
      </c>
      <c r="G13" s="6">
        <v>83.99</v>
      </c>
      <c r="H13" s="4" t="s">
        <v>2535</v>
      </c>
      <c r="I13" s="2" t="s">
        <v>2536</v>
      </c>
      <c r="J13" s="10"/>
      <c r="K13" s="6"/>
      <c r="L13" s="6"/>
      <c r="M13" s="2" t="s">
        <v>1970</v>
      </c>
      <c r="N13" s="2" t="s">
        <v>1986</v>
      </c>
      <c r="O13" s="2" t="s">
        <v>2531</v>
      </c>
      <c r="P13" s="2" t="s">
        <v>1988</v>
      </c>
      <c r="Q13" s="2" t="s">
        <v>2532</v>
      </c>
      <c r="R13" s="11" t="str">
        <f>HYPERLINK("http://slimages.macys.com/is/image/MCY/14516483 ")</f>
        <v xml:space="preserve">http://slimages.macys.com/is/image/MCY/14516483 </v>
      </c>
    </row>
    <row r="14" spans="1:18" ht="24.75" x14ac:dyDescent="0.25">
      <c r="A14" s="8" t="s">
        <v>2537</v>
      </c>
      <c r="B14" s="2" t="s">
        <v>2538</v>
      </c>
      <c r="C14" s="4">
        <v>1</v>
      </c>
      <c r="D14" s="6">
        <v>33.659999999999997</v>
      </c>
      <c r="E14" s="6">
        <v>33.659999999999997</v>
      </c>
      <c r="F14" s="9">
        <v>85.99</v>
      </c>
      <c r="G14" s="6">
        <v>85.99</v>
      </c>
      <c r="H14" s="4" t="s">
        <v>2539</v>
      </c>
      <c r="I14" s="2" t="s">
        <v>2031</v>
      </c>
      <c r="J14" s="10" t="s">
        <v>2145</v>
      </c>
      <c r="K14" s="6"/>
      <c r="L14" s="6"/>
      <c r="M14" s="2" t="s">
        <v>1970</v>
      </c>
      <c r="N14" s="2" t="s">
        <v>1986</v>
      </c>
      <c r="O14" s="2" t="s">
        <v>2044</v>
      </c>
      <c r="P14" s="2" t="s">
        <v>1988</v>
      </c>
      <c r="Q14" s="2" t="s">
        <v>2310</v>
      </c>
      <c r="R14" s="11" t="str">
        <f>HYPERLINK("http://slimages.macys.com/is/image/MCY/10286336 ")</f>
        <v xml:space="preserve">http://slimages.macys.com/is/image/MCY/10286336 </v>
      </c>
    </row>
    <row r="15" spans="1:18" ht="24.75" x14ac:dyDescent="0.25">
      <c r="A15" s="8" t="s">
        <v>2540</v>
      </c>
      <c r="B15" s="2" t="s">
        <v>2541</v>
      </c>
      <c r="C15" s="4">
        <v>2</v>
      </c>
      <c r="D15" s="6">
        <v>28</v>
      </c>
      <c r="E15" s="6">
        <v>56</v>
      </c>
      <c r="F15" s="9">
        <v>69.989999999999995</v>
      </c>
      <c r="G15" s="6">
        <v>139.97999999999999</v>
      </c>
      <c r="H15" s="4">
        <v>6114</v>
      </c>
      <c r="I15" s="2" t="s">
        <v>2026</v>
      </c>
      <c r="J15" s="10"/>
      <c r="K15" s="6"/>
      <c r="L15" s="6"/>
      <c r="M15" s="2" t="s">
        <v>1970</v>
      </c>
      <c r="N15" s="2" t="s">
        <v>2005</v>
      </c>
      <c r="O15" s="2" t="s">
        <v>2304</v>
      </c>
      <c r="P15" s="2" t="s">
        <v>1988</v>
      </c>
      <c r="Q15" s="2" t="s">
        <v>2542</v>
      </c>
      <c r="R15" s="11" t="str">
        <f>HYPERLINK("http://slimages.macys.com/is/image/MCY/16008736 ")</f>
        <v xml:space="preserve">http://slimages.macys.com/is/image/MCY/16008736 </v>
      </c>
    </row>
    <row r="16" spans="1:18" ht="24.75" x14ac:dyDescent="0.25">
      <c r="A16" s="8" t="s">
        <v>2543</v>
      </c>
      <c r="B16" s="2" t="s">
        <v>2544</v>
      </c>
      <c r="C16" s="4">
        <v>1</v>
      </c>
      <c r="D16" s="6">
        <v>27.3</v>
      </c>
      <c r="E16" s="6">
        <v>27.3</v>
      </c>
      <c r="F16" s="9">
        <v>68.989999999999995</v>
      </c>
      <c r="G16" s="6">
        <v>68.989999999999995</v>
      </c>
      <c r="H16" s="4">
        <v>56414</v>
      </c>
      <c r="I16" s="2" t="s">
        <v>2026</v>
      </c>
      <c r="J16" s="10"/>
      <c r="K16" s="6"/>
      <c r="L16" s="6"/>
      <c r="M16" s="2" t="s">
        <v>1970</v>
      </c>
      <c r="N16" s="2" t="s">
        <v>2005</v>
      </c>
      <c r="O16" s="2" t="s">
        <v>2304</v>
      </c>
      <c r="P16" s="2" t="s">
        <v>1988</v>
      </c>
      <c r="Q16" s="2" t="s">
        <v>2305</v>
      </c>
      <c r="R16" s="11" t="str">
        <f>HYPERLINK("http://slimages.macys.com/is/image/MCY/14370980 ")</f>
        <v xml:space="preserve">http://slimages.macys.com/is/image/MCY/14370980 </v>
      </c>
    </row>
    <row r="17" spans="1:18" ht="72.75" x14ac:dyDescent="0.25">
      <c r="A17" s="8" t="s">
        <v>2545</v>
      </c>
      <c r="B17" s="2" t="s">
        <v>2546</v>
      </c>
      <c r="C17" s="4">
        <v>1</v>
      </c>
      <c r="D17" s="6">
        <v>26.78</v>
      </c>
      <c r="E17" s="6">
        <v>26.78</v>
      </c>
      <c r="F17" s="9">
        <v>72.989999999999995</v>
      </c>
      <c r="G17" s="6">
        <v>72.989999999999995</v>
      </c>
      <c r="H17" s="4" t="s">
        <v>2547</v>
      </c>
      <c r="I17" s="2" t="s">
        <v>1985</v>
      </c>
      <c r="J17" s="10"/>
      <c r="K17" s="6"/>
      <c r="L17" s="6"/>
      <c r="M17" s="2" t="s">
        <v>1970</v>
      </c>
      <c r="N17" s="2" t="s">
        <v>2012</v>
      </c>
      <c r="O17" s="2" t="s">
        <v>1987</v>
      </c>
      <c r="P17" s="2" t="s">
        <v>1988</v>
      </c>
      <c r="Q17" s="2" t="s">
        <v>2548</v>
      </c>
      <c r="R17" s="11" t="str">
        <f>HYPERLINK("http://slimages.macys.com/is/image/MCY/14431828 ")</f>
        <v xml:space="preserve">http://slimages.macys.com/is/image/MCY/14431828 </v>
      </c>
    </row>
    <row r="18" spans="1:18" ht="24.75" x14ac:dyDescent="0.25">
      <c r="A18" s="8" t="s">
        <v>2549</v>
      </c>
      <c r="B18" s="2" t="s">
        <v>2550</v>
      </c>
      <c r="C18" s="4">
        <v>1</v>
      </c>
      <c r="D18" s="6">
        <v>21.46</v>
      </c>
      <c r="E18" s="6">
        <v>21.46</v>
      </c>
      <c r="F18" s="9">
        <v>53.99</v>
      </c>
      <c r="G18" s="6">
        <v>53.99</v>
      </c>
      <c r="H18" s="4" t="s">
        <v>2551</v>
      </c>
      <c r="I18" s="2" t="s">
        <v>2026</v>
      </c>
      <c r="J18" s="10" t="s">
        <v>2552</v>
      </c>
      <c r="K18" s="6"/>
      <c r="L18" s="6"/>
      <c r="M18" s="2" t="s">
        <v>1970</v>
      </c>
      <c r="N18" s="2" t="s">
        <v>2005</v>
      </c>
      <c r="O18" s="2" t="s">
        <v>2038</v>
      </c>
      <c r="P18" s="2" t="s">
        <v>1988</v>
      </c>
      <c r="Q18" s="2" t="s">
        <v>2063</v>
      </c>
      <c r="R18" s="11" t="str">
        <f>HYPERLINK("http://slimages.macys.com/is/image/MCY/11798755 ")</f>
        <v xml:space="preserve">http://slimages.macys.com/is/image/MCY/11798755 </v>
      </c>
    </row>
    <row r="19" spans="1:18" ht="60.75" x14ac:dyDescent="0.25">
      <c r="A19" s="8" t="s">
        <v>2553</v>
      </c>
      <c r="B19" s="2" t="s">
        <v>2554</v>
      </c>
      <c r="C19" s="4">
        <v>1</v>
      </c>
      <c r="D19" s="6">
        <v>19.489999999999998</v>
      </c>
      <c r="E19" s="6">
        <v>19.489999999999998</v>
      </c>
      <c r="F19" s="9">
        <v>53.99</v>
      </c>
      <c r="G19" s="6">
        <v>53.99</v>
      </c>
      <c r="H19" s="4" t="s">
        <v>2555</v>
      </c>
      <c r="I19" s="2" t="s">
        <v>2026</v>
      </c>
      <c r="J19" s="10" t="s">
        <v>2374</v>
      </c>
      <c r="K19" s="6"/>
      <c r="L19" s="6"/>
      <c r="M19" s="2" t="s">
        <v>1970</v>
      </c>
      <c r="N19" s="2" t="s">
        <v>2005</v>
      </c>
      <c r="O19" s="2" t="s">
        <v>2006</v>
      </c>
      <c r="P19" s="2" t="s">
        <v>1988</v>
      </c>
      <c r="Q19" s="2" t="s">
        <v>2556</v>
      </c>
      <c r="R19" s="11" t="str">
        <f>HYPERLINK("http://slimages.macys.com/is/image/MCY/11716800 ")</f>
        <v xml:space="preserve">http://slimages.macys.com/is/image/MCY/11716800 </v>
      </c>
    </row>
    <row r="20" spans="1:18" ht="24.75" x14ac:dyDescent="0.25">
      <c r="A20" s="8" t="s">
        <v>2557</v>
      </c>
      <c r="B20" s="2" t="s">
        <v>2558</v>
      </c>
      <c r="C20" s="4">
        <v>1</v>
      </c>
      <c r="D20" s="6">
        <v>18</v>
      </c>
      <c r="E20" s="6">
        <v>18</v>
      </c>
      <c r="F20" s="9">
        <v>39.99</v>
      </c>
      <c r="G20" s="6">
        <v>39.99</v>
      </c>
      <c r="H20" s="4" t="s">
        <v>2559</v>
      </c>
      <c r="I20" s="2" t="s">
        <v>2560</v>
      </c>
      <c r="J20" s="10" t="s">
        <v>2425</v>
      </c>
      <c r="K20" s="6"/>
      <c r="L20" s="6"/>
      <c r="M20" s="2" t="s">
        <v>1970</v>
      </c>
      <c r="N20" s="2" t="s">
        <v>2012</v>
      </c>
      <c r="O20" s="2" t="s">
        <v>2426</v>
      </c>
      <c r="P20" s="2" t="s">
        <v>1988</v>
      </c>
      <c r="Q20" s="2"/>
      <c r="R20" s="11" t="str">
        <f>HYPERLINK("http://slimages.macys.com/is/image/MCY/16008352 ")</f>
        <v xml:space="preserve">http://slimages.macys.com/is/image/MCY/16008352 </v>
      </c>
    </row>
    <row r="21" spans="1:18" ht="24.75" x14ac:dyDescent="0.25">
      <c r="A21" s="8" t="s">
        <v>2561</v>
      </c>
      <c r="B21" s="2" t="s">
        <v>2562</v>
      </c>
      <c r="C21" s="4">
        <v>2</v>
      </c>
      <c r="D21" s="6">
        <v>16.78</v>
      </c>
      <c r="E21" s="6">
        <v>33.56</v>
      </c>
      <c r="F21" s="9">
        <v>41.99</v>
      </c>
      <c r="G21" s="6">
        <v>83.98</v>
      </c>
      <c r="H21" s="4" t="s">
        <v>2563</v>
      </c>
      <c r="I21" s="2" t="s">
        <v>2026</v>
      </c>
      <c r="J21" s="10" t="s">
        <v>2564</v>
      </c>
      <c r="K21" s="6"/>
      <c r="L21" s="6"/>
      <c r="M21" s="2" t="s">
        <v>1970</v>
      </c>
      <c r="N21" s="2" t="s">
        <v>2005</v>
      </c>
      <c r="O21" s="2" t="s">
        <v>2038</v>
      </c>
      <c r="P21" s="2" t="s">
        <v>1988</v>
      </c>
      <c r="Q21" s="2" t="s">
        <v>2063</v>
      </c>
      <c r="R21" s="11" t="str">
        <f>HYPERLINK("http://slimages.macys.com/is/image/MCY/11798747 ")</f>
        <v xml:space="preserve">http://slimages.macys.com/is/image/MCY/11798747 </v>
      </c>
    </row>
    <row r="22" spans="1:18" ht="24.75" x14ac:dyDescent="0.25">
      <c r="A22" s="8" t="s">
        <v>2565</v>
      </c>
      <c r="B22" s="2" t="s">
        <v>2566</v>
      </c>
      <c r="C22" s="4">
        <v>1</v>
      </c>
      <c r="D22" s="6">
        <v>16.670000000000002</v>
      </c>
      <c r="E22" s="6">
        <v>16.670000000000002</v>
      </c>
      <c r="F22" s="9">
        <v>37.99</v>
      </c>
      <c r="G22" s="6">
        <v>37.99</v>
      </c>
      <c r="H22" s="4" t="s">
        <v>2567</v>
      </c>
      <c r="I22" s="2" t="s">
        <v>2017</v>
      </c>
      <c r="J22" s="10" t="s">
        <v>2072</v>
      </c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 t="s">
        <v>2420</v>
      </c>
      <c r="R22" s="11" t="str">
        <f>HYPERLINK("http://slimages.macys.com/is/image/MCY/9602308 ")</f>
        <v xml:space="preserve">http://slimages.macys.com/is/image/MCY/9602308 </v>
      </c>
    </row>
    <row r="23" spans="1:18" ht="72.75" x14ac:dyDescent="0.25">
      <c r="A23" s="8" t="s">
        <v>2568</v>
      </c>
      <c r="B23" s="2" t="s">
        <v>2569</v>
      </c>
      <c r="C23" s="4">
        <v>1</v>
      </c>
      <c r="D23" s="6">
        <v>15.75</v>
      </c>
      <c r="E23" s="6">
        <v>15.75</v>
      </c>
      <c r="F23" s="9">
        <v>39.99</v>
      </c>
      <c r="G23" s="6">
        <v>39.99</v>
      </c>
      <c r="H23" s="4" t="s">
        <v>2570</v>
      </c>
      <c r="I23" s="2" t="s">
        <v>2571</v>
      </c>
      <c r="J23" s="10"/>
      <c r="K23" s="6"/>
      <c r="L23" s="6"/>
      <c r="M23" s="2" t="s">
        <v>1970</v>
      </c>
      <c r="N23" s="2" t="s">
        <v>2012</v>
      </c>
      <c r="O23" s="2" t="s">
        <v>1987</v>
      </c>
      <c r="P23" s="2" t="s">
        <v>1988</v>
      </c>
      <c r="Q23" s="2" t="s">
        <v>2572</v>
      </c>
      <c r="R23" s="11" t="str">
        <f>HYPERLINK("http://slimages.macys.com/is/image/MCY/8064912 ")</f>
        <v xml:space="preserve">http://slimages.macys.com/is/image/MCY/8064912 </v>
      </c>
    </row>
    <row r="24" spans="1:18" ht="24.75" x14ac:dyDescent="0.25">
      <c r="A24" s="8" t="s">
        <v>2573</v>
      </c>
      <c r="B24" s="2" t="s">
        <v>2574</v>
      </c>
      <c r="C24" s="4">
        <v>1</v>
      </c>
      <c r="D24" s="6">
        <v>14.03</v>
      </c>
      <c r="E24" s="6">
        <v>14.03</v>
      </c>
      <c r="F24" s="9">
        <v>34.99</v>
      </c>
      <c r="G24" s="6">
        <v>34.99</v>
      </c>
      <c r="H24" s="4" t="s">
        <v>2575</v>
      </c>
      <c r="I24" s="2" t="s">
        <v>1993</v>
      </c>
      <c r="J24" s="10"/>
      <c r="K24" s="6"/>
      <c r="L24" s="6"/>
      <c r="M24" s="2" t="s">
        <v>1970</v>
      </c>
      <c r="N24" s="2" t="s">
        <v>2012</v>
      </c>
      <c r="O24" s="2" t="s">
        <v>1987</v>
      </c>
      <c r="P24" s="2" t="s">
        <v>1988</v>
      </c>
      <c r="Q24" s="2"/>
      <c r="R24" s="11" t="str">
        <f>HYPERLINK("http://slimages.macys.com/is/image/MCY/16421124 ")</f>
        <v xml:space="preserve">http://slimages.macys.com/is/image/MCY/16421124 </v>
      </c>
    </row>
    <row r="25" spans="1:18" ht="24.75" x14ac:dyDescent="0.25">
      <c r="A25" s="8" t="s">
        <v>2576</v>
      </c>
      <c r="B25" s="2" t="s">
        <v>2577</v>
      </c>
      <c r="C25" s="4">
        <v>1</v>
      </c>
      <c r="D25" s="6">
        <v>13.39</v>
      </c>
      <c r="E25" s="6">
        <v>13.39</v>
      </c>
      <c r="F25" s="9">
        <v>29.99</v>
      </c>
      <c r="G25" s="6">
        <v>29.99</v>
      </c>
      <c r="H25" s="4" t="s">
        <v>2578</v>
      </c>
      <c r="I25" s="2" t="s">
        <v>2071</v>
      </c>
      <c r="J25" s="10"/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2319</v>
      </c>
      <c r="R25" s="11" t="str">
        <f>HYPERLINK("http://slimages.macys.com/is/image/MCY/9615492 ")</f>
        <v xml:space="preserve">http://slimages.macys.com/is/image/MCY/9615492 </v>
      </c>
    </row>
    <row r="26" spans="1:18" ht="24.75" x14ac:dyDescent="0.25">
      <c r="A26" s="8" t="s">
        <v>2579</v>
      </c>
      <c r="B26" s="2" t="s">
        <v>2580</v>
      </c>
      <c r="C26" s="4">
        <v>1</v>
      </c>
      <c r="D26" s="6">
        <v>15.19</v>
      </c>
      <c r="E26" s="6">
        <v>15.19</v>
      </c>
      <c r="F26" s="9">
        <v>37.99</v>
      </c>
      <c r="G26" s="6">
        <v>37.99</v>
      </c>
      <c r="H26" s="4" t="s">
        <v>2581</v>
      </c>
      <c r="I26" s="2" t="s">
        <v>2120</v>
      </c>
      <c r="J26" s="10"/>
      <c r="K26" s="6"/>
      <c r="L26" s="6"/>
      <c r="M26" s="2" t="s">
        <v>1970</v>
      </c>
      <c r="N26" s="2" t="s">
        <v>1986</v>
      </c>
      <c r="O26" s="2" t="s">
        <v>1987</v>
      </c>
      <c r="P26" s="2" t="s">
        <v>1988</v>
      </c>
      <c r="Q26" s="2" t="s">
        <v>2053</v>
      </c>
      <c r="R26" s="11" t="str">
        <f>HYPERLINK("http://slimages.macys.com/is/image/MCY/9767713 ")</f>
        <v xml:space="preserve">http://slimages.macys.com/is/image/MCY/9767713 </v>
      </c>
    </row>
    <row r="27" spans="1:18" ht="24.75" x14ac:dyDescent="0.25">
      <c r="A27" s="8" t="s">
        <v>2582</v>
      </c>
      <c r="B27" s="2" t="s">
        <v>2583</v>
      </c>
      <c r="C27" s="4">
        <v>1</v>
      </c>
      <c r="D27" s="6">
        <v>14.23</v>
      </c>
      <c r="E27" s="6">
        <v>14.23</v>
      </c>
      <c r="F27" s="9">
        <v>38.99</v>
      </c>
      <c r="G27" s="6">
        <v>38.99</v>
      </c>
      <c r="H27" s="4" t="s">
        <v>2584</v>
      </c>
      <c r="I27" s="2" t="s">
        <v>2048</v>
      </c>
      <c r="J27" s="10"/>
      <c r="K27" s="6"/>
      <c r="L27" s="6"/>
      <c r="M27" s="2" t="s">
        <v>1970</v>
      </c>
      <c r="N27" s="2" t="s">
        <v>1986</v>
      </c>
      <c r="O27" s="2" t="s">
        <v>1994</v>
      </c>
      <c r="P27" s="2" t="s">
        <v>1988</v>
      </c>
      <c r="Q27" s="2" t="s">
        <v>2585</v>
      </c>
      <c r="R27" s="11" t="str">
        <f>HYPERLINK("http://slimages.macys.com/is/image/MCY/10005660 ")</f>
        <v xml:space="preserve">http://slimages.macys.com/is/image/MCY/10005660 </v>
      </c>
    </row>
    <row r="28" spans="1:18" ht="24.75" x14ac:dyDescent="0.25">
      <c r="A28" s="8" t="s">
        <v>2586</v>
      </c>
      <c r="B28" s="2" t="s">
        <v>2587</v>
      </c>
      <c r="C28" s="4">
        <v>7</v>
      </c>
      <c r="D28" s="6">
        <v>11.36</v>
      </c>
      <c r="E28" s="6">
        <v>79.52</v>
      </c>
      <c r="F28" s="9">
        <v>29.99</v>
      </c>
      <c r="G28" s="6">
        <v>209.93</v>
      </c>
      <c r="H28" s="4">
        <v>38128</v>
      </c>
      <c r="I28" s="2" t="s">
        <v>2026</v>
      </c>
      <c r="J28" s="10"/>
      <c r="K28" s="6"/>
      <c r="L28" s="6"/>
      <c r="M28" s="2" t="s">
        <v>1970</v>
      </c>
      <c r="N28" s="2" t="s">
        <v>2005</v>
      </c>
      <c r="O28" s="2" t="s">
        <v>2304</v>
      </c>
      <c r="P28" s="2" t="s">
        <v>1988</v>
      </c>
      <c r="Q28" s="2" t="s">
        <v>2588</v>
      </c>
      <c r="R28" s="11" t="str">
        <f>HYPERLINK("http://slimages.macys.com/is/image/MCY/14370889 ")</f>
        <v xml:space="preserve">http://slimages.macys.com/is/image/MCY/14370889 </v>
      </c>
    </row>
    <row r="29" spans="1:18" ht="96.75" x14ac:dyDescent="0.25">
      <c r="A29" s="8" t="s">
        <v>2589</v>
      </c>
      <c r="B29" s="2" t="s">
        <v>2590</v>
      </c>
      <c r="C29" s="4">
        <v>2</v>
      </c>
      <c r="D29" s="6">
        <v>11.16</v>
      </c>
      <c r="E29" s="6">
        <v>22.32</v>
      </c>
      <c r="F29" s="9">
        <v>19.989999999999998</v>
      </c>
      <c r="G29" s="6">
        <v>39.979999999999997</v>
      </c>
      <c r="H29" s="4" t="s">
        <v>2591</v>
      </c>
      <c r="I29" s="2" t="s">
        <v>2177</v>
      </c>
      <c r="J29" s="10" t="s">
        <v>2072</v>
      </c>
      <c r="K29" s="6"/>
      <c r="L29" s="6"/>
      <c r="M29" s="2" t="s">
        <v>1970</v>
      </c>
      <c r="N29" s="2" t="s">
        <v>2012</v>
      </c>
      <c r="O29" s="2" t="s">
        <v>1987</v>
      </c>
      <c r="P29" s="2" t="s">
        <v>1988</v>
      </c>
      <c r="Q29" s="2" t="s">
        <v>2073</v>
      </c>
      <c r="R29" s="11" t="str">
        <f>HYPERLINK("http://slimages.macys.com/is/image/MCY/9613896 ")</f>
        <v xml:space="preserve">http://slimages.macys.com/is/image/MCY/9613896 </v>
      </c>
    </row>
    <row r="30" spans="1:18" ht="24.75" x14ac:dyDescent="0.25">
      <c r="A30" s="8" t="s">
        <v>2592</v>
      </c>
      <c r="B30" s="2" t="s">
        <v>2593</v>
      </c>
      <c r="C30" s="4">
        <v>1</v>
      </c>
      <c r="D30" s="6">
        <v>11.5</v>
      </c>
      <c r="E30" s="6">
        <v>11.5</v>
      </c>
      <c r="F30" s="9">
        <v>22.99</v>
      </c>
      <c r="G30" s="6">
        <v>22.99</v>
      </c>
      <c r="H30" s="4" t="s">
        <v>2594</v>
      </c>
      <c r="I30" s="2" t="s">
        <v>2144</v>
      </c>
      <c r="J30" s="10" t="s">
        <v>2078</v>
      </c>
      <c r="K30" s="6"/>
      <c r="L30" s="6"/>
      <c r="M30" s="2" t="s">
        <v>1970</v>
      </c>
      <c r="N30" s="2" t="s">
        <v>1986</v>
      </c>
      <c r="O30" s="2" t="s">
        <v>2079</v>
      </c>
      <c r="P30" s="2" t="s">
        <v>1988</v>
      </c>
      <c r="Q30" s="2" t="s">
        <v>2080</v>
      </c>
      <c r="R30" s="11" t="str">
        <f>HYPERLINK("http://slimages.macys.com/is/image/MCY/13986105 ")</f>
        <v xml:space="preserve">http://slimages.macys.com/is/image/MCY/13986105 </v>
      </c>
    </row>
    <row r="31" spans="1:18" ht="24.75" x14ac:dyDescent="0.25">
      <c r="A31" s="8" t="s">
        <v>2595</v>
      </c>
      <c r="B31" s="2" t="s">
        <v>2596</v>
      </c>
      <c r="C31" s="4">
        <v>1</v>
      </c>
      <c r="D31" s="6">
        <v>11</v>
      </c>
      <c r="E31" s="6">
        <v>11</v>
      </c>
      <c r="F31" s="9">
        <v>32.99</v>
      </c>
      <c r="G31" s="6">
        <v>32.99</v>
      </c>
      <c r="H31" s="4" t="s">
        <v>2597</v>
      </c>
      <c r="I31" s="2" t="s">
        <v>2026</v>
      </c>
      <c r="J31" s="10"/>
      <c r="K31" s="6"/>
      <c r="L31" s="6"/>
      <c r="M31" s="2" t="s">
        <v>1970</v>
      </c>
      <c r="N31" s="2" t="s">
        <v>1986</v>
      </c>
      <c r="O31" s="2" t="s">
        <v>2208</v>
      </c>
      <c r="P31" s="2" t="s">
        <v>1988</v>
      </c>
      <c r="Q31" s="2" t="s">
        <v>1995</v>
      </c>
      <c r="R31" s="11" t="str">
        <f>HYPERLINK("http://slimages.macys.com/is/image/MCY/13743861 ")</f>
        <v xml:space="preserve">http://slimages.macys.com/is/image/MCY/13743861 </v>
      </c>
    </row>
    <row r="32" spans="1:18" ht="24.75" x14ac:dyDescent="0.25">
      <c r="A32" s="8" t="s">
        <v>2598</v>
      </c>
      <c r="B32" s="2" t="s">
        <v>2599</v>
      </c>
      <c r="C32" s="4">
        <v>1</v>
      </c>
      <c r="D32" s="6">
        <v>9</v>
      </c>
      <c r="E32" s="6">
        <v>9</v>
      </c>
      <c r="F32" s="9">
        <v>24.99</v>
      </c>
      <c r="G32" s="6">
        <v>24.99</v>
      </c>
      <c r="H32" s="4">
        <v>20002</v>
      </c>
      <c r="I32" s="2" t="s">
        <v>2077</v>
      </c>
      <c r="J32" s="10"/>
      <c r="K32" s="6"/>
      <c r="L32" s="6"/>
      <c r="M32" s="2" t="s">
        <v>1970</v>
      </c>
      <c r="N32" s="2" t="s">
        <v>2005</v>
      </c>
      <c r="O32" s="2" t="s">
        <v>2098</v>
      </c>
      <c r="P32" s="2" t="s">
        <v>1988</v>
      </c>
      <c r="Q32" s="2" t="s">
        <v>2600</v>
      </c>
      <c r="R32" s="11" t="str">
        <f>HYPERLINK("http://slimages.macys.com/is/image/MCY/3835867 ")</f>
        <v xml:space="preserve">http://slimages.macys.com/is/image/MCY/3835867 </v>
      </c>
    </row>
    <row r="33" spans="1:18" ht="24.75" x14ac:dyDescent="0.25">
      <c r="A33" s="8" t="s">
        <v>2601</v>
      </c>
      <c r="B33" s="2" t="s">
        <v>2602</v>
      </c>
      <c r="C33" s="4">
        <v>1</v>
      </c>
      <c r="D33" s="6">
        <v>8.48</v>
      </c>
      <c r="E33" s="6">
        <v>8.48</v>
      </c>
      <c r="F33" s="9">
        <v>17.989999999999998</v>
      </c>
      <c r="G33" s="6">
        <v>17.989999999999998</v>
      </c>
      <c r="H33" s="4">
        <v>46383</v>
      </c>
      <c r="I33" s="2" t="s">
        <v>2603</v>
      </c>
      <c r="J33" s="10" t="s">
        <v>2472</v>
      </c>
      <c r="K33" s="6"/>
      <c r="L33" s="6"/>
      <c r="M33" s="2" t="s">
        <v>1970</v>
      </c>
      <c r="N33" s="2" t="s">
        <v>2012</v>
      </c>
      <c r="O33" s="2" t="s">
        <v>2203</v>
      </c>
      <c r="P33" s="2" t="s">
        <v>1988</v>
      </c>
      <c r="Q33" s="2" t="s">
        <v>1995</v>
      </c>
      <c r="R33" s="11" t="str">
        <f>HYPERLINK("http://slimages.macys.com/is/image/MCY/10009173 ")</f>
        <v xml:space="preserve">http://slimages.macys.com/is/image/MCY/10009173 </v>
      </c>
    </row>
    <row r="34" spans="1:18" ht="24.75" x14ac:dyDescent="0.25">
      <c r="A34" s="8" t="s">
        <v>2604</v>
      </c>
      <c r="B34" s="2" t="s">
        <v>2605</v>
      </c>
      <c r="C34" s="4">
        <v>3</v>
      </c>
      <c r="D34" s="6">
        <v>7.96</v>
      </c>
      <c r="E34" s="6">
        <v>23.88</v>
      </c>
      <c r="F34" s="9">
        <v>19.989999999999998</v>
      </c>
      <c r="G34" s="6">
        <v>59.97</v>
      </c>
      <c r="H34" s="4">
        <v>139725236</v>
      </c>
      <c r="I34" s="2" t="s">
        <v>2120</v>
      </c>
      <c r="J34" s="10"/>
      <c r="K34" s="6"/>
      <c r="L34" s="6"/>
      <c r="M34" s="2" t="s">
        <v>1970</v>
      </c>
      <c r="N34" s="2" t="s">
        <v>2012</v>
      </c>
      <c r="O34" s="2" t="s">
        <v>2416</v>
      </c>
      <c r="P34" s="2" t="s">
        <v>2499</v>
      </c>
      <c r="Q34" s="2" t="s">
        <v>2095</v>
      </c>
      <c r="R34" s="11" t="str">
        <f>HYPERLINK("http://slimages.macys.com/is/image/MCY/385028 ")</f>
        <v xml:space="preserve">http://slimages.macys.com/is/image/MCY/385028 </v>
      </c>
    </row>
    <row r="35" spans="1:18" ht="24.75" x14ac:dyDescent="0.25">
      <c r="A35" s="8" t="s">
        <v>2606</v>
      </c>
      <c r="B35" s="2" t="s">
        <v>2607</v>
      </c>
      <c r="C35" s="4">
        <v>1</v>
      </c>
      <c r="D35" s="6">
        <v>8.25</v>
      </c>
      <c r="E35" s="6">
        <v>8.25</v>
      </c>
      <c r="F35" s="9">
        <v>16.989999999999998</v>
      </c>
      <c r="G35" s="6">
        <v>16.989999999999998</v>
      </c>
      <c r="H35" s="4" t="s">
        <v>2608</v>
      </c>
      <c r="I35" s="2" t="s">
        <v>2144</v>
      </c>
      <c r="J35" s="10" t="s">
        <v>2078</v>
      </c>
      <c r="K35" s="6"/>
      <c r="L35" s="6"/>
      <c r="M35" s="2" t="s">
        <v>1970</v>
      </c>
      <c r="N35" s="2" t="s">
        <v>1986</v>
      </c>
      <c r="O35" s="2" t="s">
        <v>2079</v>
      </c>
      <c r="P35" s="2" t="s">
        <v>1988</v>
      </c>
      <c r="Q35" s="2" t="s">
        <v>1995</v>
      </c>
      <c r="R35" s="11" t="str">
        <f>HYPERLINK("http://slimages.macys.com/is/image/MCY/16465678 ")</f>
        <v xml:space="preserve">http://slimages.macys.com/is/image/MCY/16465678 </v>
      </c>
    </row>
    <row r="36" spans="1:18" ht="24.75" x14ac:dyDescent="0.25">
      <c r="A36" s="8" t="s">
        <v>2609</v>
      </c>
      <c r="B36" s="2" t="s">
        <v>2610</v>
      </c>
      <c r="C36" s="4">
        <v>2</v>
      </c>
      <c r="D36" s="6">
        <v>5.45</v>
      </c>
      <c r="E36" s="6">
        <v>10.9</v>
      </c>
      <c r="F36" s="9">
        <v>12.99</v>
      </c>
      <c r="G36" s="6">
        <v>25.98</v>
      </c>
      <c r="H36" s="4" t="s">
        <v>2611</v>
      </c>
      <c r="I36" s="2" t="s">
        <v>2057</v>
      </c>
      <c r="J36" s="10"/>
      <c r="K36" s="6"/>
      <c r="L36" s="6"/>
      <c r="M36" s="2" t="s">
        <v>1970</v>
      </c>
      <c r="N36" s="2" t="s">
        <v>2184</v>
      </c>
      <c r="O36" s="2" t="s">
        <v>1987</v>
      </c>
      <c r="P36" s="2" t="s">
        <v>1988</v>
      </c>
      <c r="Q36" s="2"/>
      <c r="R36" s="11" t="str">
        <f>HYPERLINK("http://slimages.macys.com/is/image/MCY/9020870 ")</f>
        <v xml:space="preserve">http://slimages.macys.com/is/image/MCY/9020870 </v>
      </c>
    </row>
    <row r="37" spans="1:18" ht="24.75" x14ac:dyDescent="0.25">
      <c r="A37" s="8" t="s">
        <v>2612</v>
      </c>
      <c r="B37" s="2" t="s">
        <v>2613</v>
      </c>
      <c r="C37" s="4">
        <v>2</v>
      </c>
      <c r="D37" s="6">
        <v>5.32</v>
      </c>
      <c r="E37" s="6">
        <v>10.64</v>
      </c>
      <c r="F37" s="9">
        <v>12.99</v>
      </c>
      <c r="G37" s="6">
        <v>25.98</v>
      </c>
      <c r="H37" s="4">
        <v>32802</v>
      </c>
      <c r="I37" s="2"/>
      <c r="J37" s="10" t="s">
        <v>2092</v>
      </c>
      <c r="K37" s="6"/>
      <c r="L37" s="6"/>
      <c r="M37" s="2" t="s">
        <v>1970</v>
      </c>
      <c r="N37" s="2" t="s">
        <v>2184</v>
      </c>
      <c r="O37" s="2" t="s">
        <v>2094</v>
      </c>
      <c r="P37" s="2"/>
      <c r="Q37" s="2"/>
      <c r="R37" s="11" t="str">
        <f>HYPERLINK("http://slimages.macys.com/is/image/MCY/8931767 ")</f>
        <v xml:space="preserve">http://slimages.macys.com/is/image/MCY/8931767 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4"/>
  <sheetViews>
    <sheetView topLeftCell="A27" workbookViewId="0">
      <selection activeCell="G43" sqref="G43"/>
    </sheetView>
  </sheetViews>
  <sheetFormatPr defaultRowHeight="15" x14ac:dyDescent="0.25"/>
  <cols>
    <col min="1" max="1" width="14.28515625" customWidth="1"/>
    <col min="2" max="2" width="50.2851562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180.75" x14ac:dyDescent="0.25">
      <c r="A2" s="8" t="s">
        <v>2614</v>
      </c>
      <c r="B2" s="2" t="s">
        <v>2615</v>
      </c>
      <c r="C2" s="4">
        <v>1</v>
      </c>
      <c r="D2" s="6">
        <v>81.37</v>
      </c>
      <c r="E2" s="6">
        <v>81.37</v>
      </c>
      <c r="F2" s="9">
        <v>219.99</v>
      </c>
      <c r="G2" s="6">
        <v>219.99</v>
      </c>
      <c r="H2" s="4" t="s">
        <v>2616</v>
      </c>
      <c r="I2" s="2" t="s">
        <v>2120</v>
      </c>
      <c r="J2" s="10"/>
      <c r="K2" s="6"/>
      <c r="L2" s="6"/>
      <c r="M2" s="2" t="s">
        <v>1970</v>
      </c>
      <c r="N2" s="2" t="s">
        <v>1986</v>
      </c>
      <c r="O2" s="2" t="s">
        <v>1987</v>
      </c>
      <c r="P2" s="2" t="s">
        <v>1988</v>
      </c>
      <c r="Q2" s="2" t="s">
        <v>2617</v>
      </c>
      <c r="R2" s="11" t="str">
        <f>HYPERLINK("http://slimages.macys.com/is/image/MCY/9566733 ")</f>
        <v xml:space="preserve">http://slimages.macys.com/is/image/MCY/9566733 </v>
      </c>
    </row>
    <row r="3" spans="1:18" ht="72.75" x14ac:dyDescent="0.25">
      <c r="A3" s="8" t="s">
        <v>2618</v>
      </c>
      <c r="B3" s="2" t="s">
        <v>2619</v>
      </c>
      <c r="C3" s="4">
        <v>2</v>
      </c>
      <c r="D3" s="6">
        <v>66.680000000000007</v>
      </c>
      <c r="E3" s="6">
        <v>133.36000000000001</v>
      </c>
      <c r="F3" s="9">
        <v>148.99</v>
      </c>
      <c r="G3" s="6">
        <v>297.98</v>
      </c>
      <c r="H3" s="4" t="s">
        <v>2620</v>
      </c>
      <c r="I3" s="2" t="s">
        <v>2177</v>
      </c>
      <c r="J3" s="10" t="s">
        <v>2621</v>
      </c>
      <c r="K3" s="6"/>
      <c r="L3" s="6"/>
      <c r="M3" s="2" t="s">
        <v>1970</v>
      </c>
      <c r="N3" s="2" t="s">
        <v>2012</v>
      </c>
      <c r="O3" s="2" t="s">
        <v>1987</v>
      </c>
      <c r="P3" s="2" t="s">
        <v>1988</v>
      </c>
      <c r="Q3" s="2" t="s">
        <v>2622</v>
      </c>
      <c r="R3" s="11" t="str">
        <f>HYPERLINK("http://slimages.macys.com/is/image/MCY/9803576 ")</f>
        <v xml:space="preserve">http://slimages.macys.com/is/image/MCY/9803576 </v>
      </c>
    </row>
    <row r="4" spans="1:18" ht="24.75" x14ac:dyDescent="0.25">
      <c r="A4" s="8" t="s">
        <v>2623</v>
      </c>
      <c r="B4" s="2" t="s">
        <v>2624</v>
      </c>
      <c r="C4" s="4">
        <v>1</v>
      </c>
      <c r="D4" s="6">
        <v>70.47</v>
      </c>
      <c r="E4" s="6">
        <v>70.47</v>
      </c>
      <c r="F4" s="9">
        <v>179.99</v>
      </c>
      <c r="G4" s="6">
        <v>179.99</v>
      </c>
      <c r="H4" s="4" t="s">
        <v>2625</v>
      </c>
      <c r="I4" s="2" t="s">
        <v>2026</v>
      </c>
      <c r="J4" s="10"/>
      <c r="K4" s="6"/>
      <c r="L4" s="6"/>
      <c r="M4" s="2" t="s">
        <v>1970</v>
      </c>
      <c r="N4" s="2" t="s">
        <v>2626</v>
      </c>
      <c r="O4" s="2" t="s">
        <v>2627</v>
      </c>
      <c r="P4" s="2" t="s">
        <v>1988</v>
      </c>
      <c r="Q4" s="2" t="s">
        <v>1995</v>
      </c>
      <c r="R4" s="11" t="str">
        <f>HYPERLINK("http://slimages.macys.com/is/image/MCY/9312571 ")</f>
        <v xml:space="preserve">http://slimages.macys.com/is/image/MCY/9312571 </v>
      </c>
    </row>
    <row r="5" spans="1:18" ht="84.75" x14ac:dyDescent="0.25">
      <c r="A5" s="8" t="s">
        <v>2628</v>
      </c>
      <c r="B5" s="2" t="s">
        <v>2629</v>
      </c>
      <c r="C5" s="4">
        <v>1</v>
      </c>
      <c r="D5" s="6">
        <v>63.29</v>
      </c>
      <c r="E5" s="6">
        <v>63.29</v>
      </c>
      <c r="F5" s="9">
        <v>169.99</v>
      </c>
      <c r="G5" s="6">
        <v>169.99</v>
      </c>
      <c r="H5" s="4" t="s">
        <v>2630</v>
      </c>
      <c r="I5" s="2" t="s">
        <v>2021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2631</v>
      </c>
      <c r="R5" s="11" t="str">
        <f>HYPERLINK("http://slimages.macys.com/is/image/MCY/9627753 ")</f>
        <v xml:space="preserve">http://slimages.macys.com/is/image/MCY/9627753 </v>
      </c>
    </row>
    <row r="6" spans="1:18" ht="168.75" x14ac:dyDescent="0.25">
      <c r="A6" s="8" t="s">
        <v>2632</v>
      </c>
      <c r="B6" s="2" t="s">
        <v>2633</v>
      </c>
      <c r="C6" s="4">
        <v>1</v>
      </c>
      <c r="D6" s="6">
        <v>61.57</v>
      </c>
      <c r="E6" s="6">
        <v>61.57</v>
      </c>
      <c r="F6" s="9">
        <v>149.99</v>
      </c>
      <c r="G6" s="6">
        <v>149.99</v>
      </c>
      <c r="H6" s="4" t="s">
        <v>2634</v>
      </c>
      <c r="I6" s="2" t="s">
        <v>2571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 t="s">
        <v>2635</v>
      </c>
      <c r="R6" s="11" t="str">
        <f>HYPERLINK("http://slimages.macys.com/is/image/MCY/8931918 ")</f>
        <v xml:space="preserve">http://slimages.macys.com/is/image/MCY/8931918 </v>
      </c>
    </row>
    <row r="7" spans="1:18" ht="60.75" x14ac:dyDescent="0.25">
      <c r="A7" s="8" t="s">
        <v>2636</v>
      </c>
      <c r="B7" s="2" t="s">
        <v>2637</v>
      </c>
      <c r="C7" s="4">
        <v>1</v>
      </c>
      <c r="D7" s="6">
        <v>40.68</v>
      </c>
      <c r="E7" s="6">
        <v>40.68</v>
      </c>
      <c r="F7" s="9">
        <v>88.99</v>
      </c>
      <c r="G7" s="6">
        <v>88.99</v>
      </c>
      <c r="H7" s="4" t="s">
        <v>2638</v>
      </c>
      <c r="I7" s="2" t="s">
        <v>2017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2639</v>
      </c>
      <c r="R7" s="11" t="str">
        <f>HYPERLINK("http://slimages.macys.com/is/image/MCY/9767708 ")</f>
        <v xml:space="preserve">http://slimages.macys.com/is/image/MCY/9767708 </v>
      </c>
    </row>
    <row r="8" spans="1:18" ht="24.75" x14ac:dyDescent="0.25">
      <c r="A8" s="8" t="s">
        <v>2640</v>
      </c>
      <c r="B8" s="2" t="s">
        <v>2641</v>
      </c>
      <c r="C8" s="4">
        <v>1</v>
      </c>
      <c r="D8" s="6">
        <v>34.46</v>
      </c>
      <c r="E8" s="6">
        <v>34.46</v>
      </c>
      <c r="F8" s="9">
        <v>86.99</v>
      </c>
      <c r="G8" s="6">
        <v>86.99</v>
      </c>
      <c r="H8" s="4">
        <v>47516</v>
      </c>
      <c r="I8" s="2" t="s">
        <v>2026</v>
      </c>
      <c r="J8" s="10"/>
      <c r="K8" s="6"/>
      <c r="L8" s="6"/>
      <c r="M8" s="2" t="s">
        <v>1970</v>
      </c>
      <c r="N8" s="2" t="s">
        <v>2005</v>
      </c>
      <c r="O8" s="2" t="s">
        <v>2304</v>
      </c>
      <c r="P8" s="2" t="s">
        <v>1988</v>
      </c>
      <c r="Q8" s="2" t="s">
        <v>2642</v>
      </c>
      <c r="R8" s="11" t="str">
        <f>HYPERLINK("http://slimages.macys.com/is/image/MCY/14370961 ")</f>
        <v xml:space="preserve">http://slimages.macys.com/is/image/MCY/14370961 </v>
      </c>
    </row>
    <row r="9" spans="1:18" ht="36.75" x14ac:dyDescent="0.25">
      <c r="A9" s="8" t="s">
        <v>2643</v>
      </c>
      <c r="B9" s="2" t="s">
        <v>2644</v>
      </c>
      <c r="C9" s="4">
        <v>1</v>
      </c>
      <c r="D9" s="6">
        <v>34.71</v>
      </c>
      <c r="E9" s="6">
        <v>34.71</v>
      </c>
      <c r="F9" s="9">
        <v>74.989999999999995</v>
      </c>
      <c r="G9" s="6">
        <v>74.989999999999995</v>
      </c>
      <c r="H9" s="4" t="s">
        <v>2645</v>
      </c>
      <c r="I9" s="2" t="s">
        <v>2057</v>
      </c>
      <c r="J9" s="10"/>
      <c r="K9" s="6"/>
      <c r="L9" s="6"/>
      <c r="M9" s="2" t="s">
        <v>1970</v>
      </c>
      <c r="N9" s="2" t="s">
        <v>1986</v>
      </c>
      <c r="O9" s="2" t="s">
        <v>1987</v>
      </c>
      <c r="P9" s="2" t="s">
        <v>1988</v>
      </c>
      <c r="Q9" s="2" t="s">
        <v>2058</v>
      </c>
      <c r="R9" s="11" t="str">
        <f>HYPERLINK("http://slimages.macys.com/is/image/MCY/13049668 ")</f>
        <v xml:space="preserve">http://slimages.macys.com/is/image/MCY/13049668 </v>
      </c>
    </row>
    <row r="10" spans="1:18" ht="24.75" x14ac:dyDescent="0.25">
      <c r="A10" s="8" t="s">
        <v>2646</v>
      </c>
      <c r="B10" s="2" t="s">
        <v>2647</v>
      </c>
      <c r="C10" s="4">
        <v>1</v>
      </c>
      <c r="D10" s="6">
        <v>28.19</v>
      </c>
      <c r="E10" s="6">
        <v>28.19</v>
      </c>
      <c r="F10" s="9">
        <v>70.989999999999995</v>
      </c>
      <c r="G10" s="6">
        <v>70.989999999999995</v>
      </c>
      <c r="H10" s="4">
        <v>47514</v>
      </c>
      <c r="I10" s="2" t="s">
        <v>2026</v>
      </c>
      <c r="J10" s="10"/>
      <c r="K10" s="6"/>
      <c r="L10" s="6"/>
      <c r="M10" s="2" t="s">
        <v>1970</v>
      </c>
      <c r="N10" s="2" t="s">
        <v>2005</v>
      </c>
      <c r="O10" s="2" t="s">
        <v>2304</v>
      </c>
      <c r="P10" s="2" t="s">
        <v>1988</v>
      </c>
      <c r="Q10" s="2" t="s">
        <v>2642</v>
      </c>
      <c r="R10" s="11" t="str">
        <f>HYPERLINK("http://slimages.macys.com/is/image/MCY/14370956 ")</f>
        <v xml:space="preserve">http://slimages.macys.com/is/image/MCY/14370956 </v>
      </c>
    </row>
    <row r="11" spans="1:18" ht="24.75" x14ac:dyDescent="0.25">
      <c r="A11" s="8" t="s">
        <v>2648</v>
      </c>
      <c r="B11" s="2" t="s">
        <v>2649</v>
      </c>
      <c r="C11" s="4">
        <v>1</v>
      </c>
      <c r="D11" s="6">
        <v>24.8</v>
      </c>
      <c r="E11" s="6">
        <v>24.8</v>
      </c>
      <c r="F11" s="9">
        <v>49.99</v>
      </c>
      <c r="G11" s="6">
        <v>49.99</v>
      </c>
      <c r="H11" s="4" t="s">
        <v>2650</v>
      </c>
      <c r="I11" s="2" t="s">
        <v>2087</v>
      </c>
      <c r="J11" s="10"/>
      <c r="K11" s="6"/>
      <c r="L11" s="6"/>
      <c r="M11" s="2" t="s">
        <v>1970</v>
      </c>
      <c r="N11" s="2" t="s">
        <v>2012</v>
      </c>
      <c r="O11" s="2" t="s">
        <v>1987</v>
      </c>
      <c r="P11" s="2" t="s">
        <v>1988</v>
      </c>
      <c r="Q11" s="2"/>
      <c r="R11" s="11" t="str">
        <f>HYPERLINK("http://slimages.macys.com/is/image/MCY/8958381 ")</f>
        <v xml:space="preserve">http://slimages.macys.com/is/image/MCY/8958381 </v>
      </c>
    </row>
    <row r="12" spans="1:18" ht="24.75" x14ac:dyDescent="0.25">
      <c r="A12" s="8" t="s">
        <v>2651</v>
      </c>
      <c r="B12" s="2" t="s">
        <v>2652</v>
      </c>
      <c r="C12" s="4">
        <v>1</v>
      </c>
      <c r="D12" s="6">
        <v>28.48</v>
      </c>
      <c r="E12" s="6">
        <v>28.48</v>
      </c>
      <c r="F12" s="9">
        <v>69.989999999999995</v>
      </c>
      <c r="G12" s="6">
        <v>69.989999999999995</v>
      </c>
      <c r="H12" s="4" t="s">
        <v>2653</v>
      </c>
      <c r="I12" s="2" t="s">
        <v>1985</v>
      </c>
      <c r="J12" s="10"/>
      <c r="K12" s="6"/>
      <c r="L12" s="6"/>
      <c r="M12" s="2" t="s">
        <v>1970</v>
      </c>
      <c r="N12" s="2" t="s">
        <v>1986</v>
      </c>
      <c r="O12" s="2" t="s">
        <v>1987</v>
      </c>
      <c r="P12" s="2" t="s">
        <v>1988</v>
      </c>
      <c r="Q12" s="2" t="s">
        <v>1995</v>
      </c>
      <c r="R12" s="11" t="str">
        <f>HYPERLINK("http://slimages.macys.com/is/image/MCY/9812356 ")</f>
        <v xml:space="preserve">http://slimages.macys.com/is/image/MCY/9812356 </v>
      </c>
    </row>
    <row r="13" spans="1:18" ht="24.75" x14ac:dyDescent="0.25">
      <c r="A13" s="8" t="s">
        <v>2654</v>
      </c>
      <c r="B13" s="2" t="s">
        <v>2655</v>
      </c>
      <c r="C13" s="4">
        <v>2</v>
      </c>
      <c r="D13" s="6">
        <v>21.05</v>
      </c>
      <c r="E13" s="6">
        <v>42.1</v>
      </c>
      <c r="F13" s="9">
        <v>59.99</v>
      </c>
      <c r="G13" s="6">
        <v>119.98</v>
      </c>
      <c r="H13" s="4" t="s">
        <v>2656</v>
      </c>
      <c r="I13" s="2" t="s">
        <v>2266</v>
      </c>
      <c r="J13" s="10"/>
      <c r="K13" s="6"/>
      <c r="L13" s="6"/>
      <c r="M13" s="2" t="s">
        <v>1970</v>
      </c>
      <c r="N13" s="2" t="s">
        <v>2012</v>
      </c>
      <c r="O13" s="2" t="s">
        <v>1987</v>
      </c>
      <c r="P13" s="2" t="s">
        <v>1988</v>
      </c>
      <c r="Q13" s="2"/>
      <c r="R13" s="11" t="str">
        <f>HYPERLINK("http://slimages.macys.com/is/image/MCY/9192504 ")</f>
        <v xml:space="preserve">http://slimages.macys.com/is/image/MCY/9192504 </v>
      </c>
    </row>
    <row r="14" spans="1:18" ht="36.75" x14ac:dyDescent="0.25">
      <c r="A14" s="8" t="s">
        <v>2657</v>
      </c>
      <c r="B14" s="2" t="s">
        <v>2658</v>
      </c>
      <c r="C14" s="4">
        <v>1</v>
      </c>
      <c r="D14" s="6">
        <v>24.41</v>
      </c>
      <c r="E14" s="6">
        <v>24.41</v>
      </c>
      <c r="F14" s="9">
        <v>59.99</v>
      </c>
      <c r="G14" s="6">
        <v>59.99</v>
      </c>
      <c r="H14" s="4" t="s">
        <v>2659</v>
      </c>
      <c r="I14" s="2" t="s">
        <v>1985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2058</v>
      </c>
      <c r="R14" s="11" t="str">
        <f>HYPERLINK("http://slimages.macys.com/is/image/MCY/9812356 ")</f>
        <v xml:space="preserve">http://slimages.macys.com/is/image/MCY/9812356 </v>
      </c>
    </row>
    <row r="15" spans="1:18" ht="24.75" x14ac:dyDescent="0.25">
      <c r="A15" s="8" t="s">
        <v>2660</v>
      </c>
      <c r="B15" s="2" t="s">
        <v>2661</v>
      </c>
      <c r="C15" s="4">
        <v>1</v>
      </c>
      <c r="D15" s="6">
        <v>24.4</v>
      </c>
      <c r="E15" s="6">
        <v>24.4</v>
      </c>
      <c r="F15" s="9">
        <v>66.989999999999995</v>
      </c>
      <c r="G15" s="6">
        <v>66.989999999999995</v>
      </c>
      <c r="H15" s="4" t="s">
        <v>2662</v>
      </c>
      <c r="I15" s="2" t="s">
        <v>2663</v>
      </c>
      <c r="J15" s="10"/>
      <c r="K15" s="6"/>
      <c r="L15" s="6"/>
      <c r="M15" s="2" t="s">
        <v>1970</v>
      </c>
      <c r="N15" s="2" t="s">
        <v>1986</v>
      </c>
      <c r="O15" s="2" t="s">
        <v>1994</v>
      </c>
      <c r="P15" s="2" t="s">
        <v>1988</v>
      </c>
      <c r="Q15" s="2" t="s">
        <v>1995</v>
      </c>
      <c r="R15" s="11" t="str">
        <f>HYPERLINK("http://slimages.macys.com/is/image/MCY/16149498 ")</f>
        <v xml:space="preserve">http://slimages.macys.com/is/image/MCY/16149498 </v>
      </c>
    </row>
    <row r="16" spans="1:18" ht="24.75" x14ac:dyDescent="0.25">
      <c r="A16" s="8" t="s">
        <v>2664</v>
      </c>
      <c r="B16" s="2" t="s">
        <v>2665</v>
      </c>
      <c r="C16" s="4">
        <v>1</v>
      </c>
      <c r="D16" s="6">
        <v>20.010000000000002</v>
      </c>
      <c r="E16" s="6">
        <v>20.010000000000002</v>
      </c>
      <c r="F16" s="9">
        <v>34.99</v>
      </c>
      <c r="G16" s="6">
        <v>34.99</v>
      </c>
      <c r="H16" s="4" t="s">
        <v>2666</v>
      </c>
      <c r="I16" s="2" t="s">
        <v>2077</v>
      </c>
      <c r="J16" s="10"/>
      <c r="K16" s="6"/>
      <c r="L16" s="6"/>
      <c r="M16" s="2" t="s">
        <v>1970</v>
      </c>
      <c r="N16" s="2" t="s">
        <v>2012</v>
      </c>
      <c r="O16" s="2" t="s">
        <v>2667</v>
      </c>
      <c r="P16" s="2" t="s">
        <v>1988</v>
      </c>
      <c r="Q16" s="2" t="s">
        <v>2668</v>
      </c>
      <c r="R16" s="11" t="str">
        <f>HYPERLINK("http://slimages.macys.com/is/image/MCY/2469591 ")</f>
        <v xml:space="preserve">http://slimages.macys.com/is/image/MCY/2469591 </v>
      </c>
    </row>
    <row r="17" spans="1:18" ht="72.75" x14ac:dyDescent="0.25">
      <c r="A17" s="8" t="s">
        <v>2669</v>
      </c>
      <c r="B17" s="2" t="s">
        <v>2670</v>
      </c>
      <c r="C17" s="4">
        <v>1</v>
      </c>
      <c r="D17" s="6">
        <v>19.850000000000001</v>
      </c>
      <c r="E17" s="6">
        <v>19.850000000000001</v>
      </c>
      <c r="F17" s="9">
        <v>44.99</v>
      </c>
      <c r="G17" s="6">
        <v>44.99</v>
      </c>
      <c r="H17" s="4" t="s">
        <v>2671</v>
      </c>
      <c r="I17" s="2" t="s">
        <v>2120</v>
      </c>
      <c r="J17" s="10"/>
      <c r="K17" s="6"/>
      <c r="L17" s="6"/>
      <c r="M17" s="2" t="s">
        <v>1970</v>
      </c>
      <c r="N17" s="2" t="s">
        <v>2012</v>
      </c>
      <c r="O17" s="2" t="s">
        <v>1987</v>
      </c>
      <c r="P17" s="2" t="s">
        <v>1988</v>
      </c>
      <c r="Q17" s="2" t="s">
        <v>2287</v>
      </c>
      <c r="R17" s="11" t="str">
        <f>HYPERLINK("http://slimages.macys.com/is/image/MCY/9616186 ")</f>
        <v xml:space="preserve">http://slimages.macys.com/is/image/MCY/9616186 </v>
      </c>
    </row>
    <row r="18" spans="1:18" ht="24.75" x14ac:dyDescent="0.25">
      <c r="A18" s="8" t="s">
        <v>2672</v>
      </c>
      <c r="B18" s="2" t="s">
        <v>2673</v>
      </c>
      <c r="C18" s="4">
        <v>2</v>
      </c>
      <c r="D18" s="6">
        <v>19.600000000000001</v>
      </c>
      <c r="E18" s="6">
        <v>39.200000000000003</v>
      </c>
      <c r="F18" s="9">
        <v>57.99</v>
      </c>
      <c r="G18" s="6">
        <v>115.98</v>
      </c>
      <c r="H18" s="4" t="s">
        <v>2674</v>
      </c>
      <c r="I18" s="2" t="s">
        <v>2026</v>
      </c>
      <c r="J18" s="10" t="s">
        <v>2675</v>
      </c>
      <c r="K18" s="6"/>
      <c r="L18" s="6"/>
      <c r="M18" s="2" t="s">
        <v>1970</v>
      </c>
      <c r="N18" s="2" t="s">
        <v>2012</v>
      </c>
      <c r="O18" s="2" t="s">
        <v>2013</v>
      </c>
      <c r="P18" s="2" t="s">
        <v>1988</v>
      </c>
      <c r="Q18" s="2" t="s">
        <v>1995</v>
      </c>
      <c r="R18" s="11" t="str">
        <f>HYPERLINK("http://slimages.macys.com/is/image/MCY/13813463 ")</f>
        <v xml:space="preserve">http://slimages.macys.com/is/image/MCY/13813463 </v>
      </c>
    </row>
    <row r="19" spans="1:18" ht="24.75" x14ac:dyDescent="0.25">
      <c r="A19" s="8" t="s">
        <v>2676</v>
      </c>
      <c r="B19" s="2" t="s">
        <v>2677</v>
      </c>
      <c r="C19" s="4">
        <v>2</v>
      </c>
      <c r="D19" s="6">
        <v>19.02</v>
      </c>
      <c r="E19" s="6">
        <v>38.04</v>
      </c>
      <c r="F19" s="9">
        <v>47.99</v>
      </c>
      <c r="G19" s="6">
        <v>95.98</v>
      </c>
      <c r="H19" s="4" t="s">
        <v>2678</v>
      </c>
      <c r="I19" s="2" t="s">
        <v>2026</v>
      </c>
      <c r="J19" s="10" t="s">
        <v>2679</v>
      </c>
      <c r="K19" s="6"/>
      <c r="L19" s="6"/>
      <c r="M19" s="2" t="s">
        <v>1970</v>
      </c>
      <c r="N19" s="2" t="s">
        <v>2005</v>
      </c>
      <c r="O19" s="2" t="s">
        <v>2038</v>
      </c>
      <c r="P19" s="2" t="s">
        <v>2039</v>
      </c>
      <c r="Q19" s="2" t="s">
        <v>2680</v>
      </c>
      <c r="R19" s="11" t="str">
        <f>HYPERLINK("http://slimages.macys.com/is/image/MCY/11798370 ")</f>
        <v xml:space="preserve">http://slimages.macys.com/is/image/MCY/11798370 </v>
      </c>
    </row>
    <row r="20" spans="1:18" ht="24.75" x14ac:dyDescent="0.25">
      <c r="A20" s="8" t="s">
        <v>2681</v>
      </c>
      <c r="B20" s="2" t="s">
        <v>2682</v>
      </c>
      <c r="C20" s="4">
        <v>1</v>
      </c>
      <c r="D20" s="6">
        <v>18.899999999999999</v>
      </c>
      <c r="E20" s="6">
        <v>18.899999999999999</v>
      </c>
      <c r="F20" s="9">
        <v>79.989999999999995</v>
      </c>
      <c r="G20" s="6">
        <v>79.989999999999995</v>
      </c>
      <c r="H20" s="4">
        <v>10003301000</v>
      </c>
      <c r="I20" s="2" t="s">
        <v>2683</v>
      </c>
      <c r="J20" s="10"/>
      <c r="K20" s="6"/>
      <c r="L20" s="6"/>
      <c r="M20" s="2" t="s">
        <v>1970</v>
      </c>
      <c r="N20" s="2" t="s">
        <v>2684</v>
      </c>
      <c r="O20" s="2" t="s">
        <v>2685</v>
      </c>
      <c r="P20" s="2" t="s">
        <v>1988</v>
      </c>
      <c r="Q20" s="2"/>
      <c r="R20" s="11" t="str">
        <f>HYPERLINK("http://slimages.macys.com/is/image/MCY/10122994 ")</f>
        <v xml:space="preserve">http://slimages.macys.com/is/image/MCY/10122994 </v>
      </c>
    </row>
    <row r="21" spans="1:18" ht="24.75" x14ac:dyDescent="0.25">
      <c r="A21" s="8" t="s">
        <v>2686</v>
      </c>
      <c r="B21" s="2" t="s">
        <v>2687</v>
      </c>
      <c r="C21" s="4">
        <v>1</v>
      </c>
      <c r="D21" s="6">
        <v>18.32</v>
      </c>
      <c r="E21" s="6">
        <v>18.32</v>
      </c>
      <c r="F21" s="9">
        <v>89.99</v>
      </c>
      <c r="G21" s="6">
        <v>89.99</v>
      </c>
      <c r="H21" s="4">
        <v>10003300800</v>
      </c>
      <c r="I21" s="2" t="s">
        <v>2683</v>
      </c>
      <c r="J21" s="10"/>
      <c r="K21" s="6"/>
      <c r="L21" s="6"/>
      <c r="M21" s="2" t="s">
        <v>1970</v>
      </c>
      <c r="N21" s="2" t="s">
        <v>2684</v>
      </c>
      <c r="O21" s="2" t="s">
        <v>2685</v>
      </c>
      <c r="P21" s="2" t="s">
        <v>1988</v>
      </c>
      <c r="Q21" s="2" t="s">
        <v>2688</v>
      </c>
      <c r="R21" s="11" t="str">
        <f>HYPERLINK("http://slimages.macys.com/is/image/MCY/10122998 ")</f>
        <v xml:space="preserve">http://slimages.macys.com/is/image/MCY/10122998 </v>
      </c>
    </row>
    <row r="22" spans="1:18" ht="24.75" x14ac:dyDescent="0.25">
      <c r="A22" s="8" t="s">
        <v>2689</v>
      </c>
      <c r="B22" s="2" t="s">
        <v>2690</v>
      </c>
      <c r="C22" s="4">
        <v>1</v>
      </c>
      <c r="D22" s="6">
        <v>15.62</v>
      </c>
      <c r="E22" s="6">
        <v>15.62</v>
      </c>
      <c r="F22" s="9">
        <v>38.99</v>
      </c>
      <c r="G22" s="6">
        <v>38.99</v>
      </c>
      <c r="H22" s="4" t="s">
        <v>2691</v>
      </c>
      <c r="I22" s="2" t="s">
        <v>2200</v>
      </c>
      <c r="J22" s="10"/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/>
      <c r="R22" s="11" t="str">
        <f>HYPERLINK("http://slimages.macys.com/is/image/MCY/9310270 ")</f>
        <v xml:space="preserve">http://slimages.macys.com/is/image/MCY/9310270 </v>
      </c>
    </row>
    <row r="23" spans="1:18" ht="24.75" x14ac:dyDescent="0.25">
      <c r="A23" s="8" t="s">
        <v>2692</v>
      </c>
      <c r="B23" s="2" t="s">
        <v>2693</v>
      </c>
      <c r="C23" s="4">
        <v>1</v>
      </c>
      <c r="D23" s="6">
        <v>14.79</v>
      </c>
      <c r="E23" s="6">
        <v>14.79</v>
      </c>
      <c r="F23" s="9">
        <v>33.99</v>
      </c>
      <c r="G23" s="6">
        <v>33.99</v>
      </c>
      <c r="H23" s="4" t="s">
        <v>2694</v>
      </c>
      <c r="I23" s="2" t="s">
        <v>2077</v>
      </c>
      <c r="J23" s="10"/>
      <c r="K23" s="6"/>
      <c r="L23" s="6"/>
      <c r="M23" s="2" t="s">
        <v>1970</v>
      </c>
      <c r="N23" s="2" t="s">
        <v>2012</v>
      </c>
      <c r="O23" s="2" t="s">
        <v>2667</v>
      </c>
      <c r="P23" s="2" t="s">
        <v>1988</v>
      </c>
      <c r="Q23" s="2" t="s">
        <v>2695</v>
      </c>
      <c r="R23" s="11" t="str">
        <f>HYPERLINK("http://slimages.macys.com/is/image/MCY/2870624 ")</f>
        <v xml:space="preserve">http://slimages.macys.com/is/image/MCY/2870624 </v>
      </c>
    </row>
    <row r="24" spans="1:18" ht="24.75" x14ac:dyDescent="0.25">
      <c r="A24" s="8" t="s">
        <v>2696</v>
      </c>
      <c r="B24" s="2" t="s">
        <v>2697</v>
      </c>
      <c r="C24" s="4">
        <v>1</v>
      </c>
      <c r="D24" s="6">
        <v>17.13</v>
      </c>
      <c r="E24" s="6">
        <v>17.13</v>
      </c>
      <c r="F24" s="9">
        <v>48.99</v>
      </c>
      <c r="G24" s="6">
        <v>48.99</v>
      </c>
      <c r="H24" s="4" t="s">
        <v>2698</v>
      </c>
      <c r="I24" s="2"/>
      <c r="J24" s="10"/>
      <c r="K24" s="6"/>
      <c r="L24" s="6"/>
      <c r="M24" s="2" t="s">
        <v>1970</v>
      </c>
      <c r="N24" s="2" t="s">
        <v>1986</v>
      </c>
      <c r="O24" s="2" t="s">
        <v>2044</v>
      </c>
      <c r="P24" s="2" t="s">
        <v>1988</v>
      </c>
      <c r="Q24" s="2" t="s">
        <v>2310</v>
      </c>
      <c r="R24" s="11" t="str">
        <f>HYPERLINK("http://slimages.macys.com/is/image/MCY/10974209 ")</f>
        <v xml:space="preserve">http://slimages.macys.com/is/image/MCY/10974209 </v>
      </c>
    </row>
    <row r="25" spans="1:18" ht="24.75" x14ac:dyDescent="0.25">
      <c r="A25" s="8" t="s">
        <v>2699</v>
      </c>
      <c r="B25" s="2" t="s">
        <v>2700</v>
      </c>
      <c r="C25" s="4">
        <v>6</v>
      </c>
      <c r="D25" s="6">
        <v>14.29</v>
      </c>
      <c r="E25" s="6">
        <v>85.74</v>
      </c>
      <c r="F25" s="9">
        <v>35.99</v>
      </c>
      <c r="G25" s="6">
        <v>215.94</v>
      </c>
      <c r="H25" s="4" t="s">
        <v>2701</v>
      </c>
      <c r="I25" s="2" t="s">
        <v>2560</v>
      </c>
      <c r="J25" s="10"/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2315</v>
      </c>
      <c r="R25" s="11" t="str">
        <f>HYPERLINK("http://slimages.macys.com/is/image/MCY/9310361 ")</f>
        <v xml:space="preserve">http://slimages.macys.com/is/image/MCY/9310361 </v>
      </c>
    </row>
    <row r="26" spans="1:18" ht="24.75" x14ac:dyDescent="0.25">
      <c r="A26" s="8" t="s">
        <v>2702</v>
      </c>
      <c r="B26" s="2" t="s">
        <v>2703</v>
      </c>
      <c r="C26" s="4">
        <v>2</v>
      </c>
      <c r="D26" s="6">
        <v>14</v>
      </c>
      <c r="E26" s="6">
        <v>28</v>
      </c>
      <c r="F26" s="9">
        <v>34.99</v>
      </c>
      <c r="G26" s="6">
        <v>69.98</v>
      </c>
      <c r="H26" s="4" t="s">
        <v>2704</v>
      </c>
      <c r="I26" s="2" t="s">
        <v>2200</v>
      </c>
      <c r="J26" s="10"/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1995</v>
      </c>
      <c r="R26" s="11" t="str">
        <f>HYPERLINK("http://slimages.macys.com/is/image/MCY/9310270 ")</f>
        <v xml:space="preserve">http://slimages.macys.com/is/image/MCY/9310270 </v>
      </c>
    </row>
    <row r="27" spans="1:18" ht="24.75" x14ac:dyDescent="0.25">
      <c r="A27" s="8" t="s">
        <v>2705</v>
      </c>
      <c r="B27" s="2" t="s">
        <v>2706</v>
      </c>
      <c r="C27" s="4">
        <v>1</v>
      </c>
      <c r="D27" s="6">
        <v>15</v>
      </c>
      <c r="E27" s="6">
        <v>15</v>
      </c>
      <c r="F27" s="9">
        <v>29.99</v>
      </c>
      <c r="G27" s="6">
        <v>29.99</v>
      </c>
      <c r="H27" s="4" t="s">
        <v>2707</v>
      </c>
      <c r="I27" s="2" t="s">
        <v>2424</v>
      </c>
      <c r="J27" s="10" t="s">
        <v>2708</v>
      </c>
      <c r="K27" s="6"/>
      <c r="L27" s="6"/>
      <c r="M27" s="2" t="s">
        <v>1970</v>
      </c>
      <c r="N27" s="2" t="s">
        <v>2709</v>
      </c>
      <c r="O27" s="2" t="s">
        <v>2710</v>
      </c>
      <c r="P27" s="2" t="s">
        <v>1988</v>
      </c>
      <c r="Q27" s="2"/>
      <c r="R27" s="11" t="str">
        <f>HYPERLINK("http://slimages.macys.com/is/image/MCY/3713980 ")</f>
        <v xml:space="preserve">http://slimages.macys.com/is/image/MCY/3713980 </v>
      </c>
    </row>
    <row r="28" spans="1:18" ht="24.75" x14ac:dyDescent="0.25">
      <c r="A28" s="8" t="s">
        <v>2711</v>
      </c>
      <c r="B28" s="2" t="s">
        <v>2712</v>
      </c>
      <c r="C28" s="4">
        <v>1</v>
      </c>
      <c r="D28" s="6">
        <v>12.39</v>
      </c>
      <c r="E28" s="6">
        <v>12.39</v>
      </c>
      <c r="F28" s="9">
        <v>27.99</v>
      </c>
      <c r="G28" s="6">
        <v>27.99</v>
      </c>
      <c r="H28" s="4" t="s">
        <v>2713</v>
      </c>
      <c r="I28" s="2" t="s">
        <v>1993</v>
      </c>
      <c r="J28" s="10"/>
      <c r="K28" s="6"/>
      <c r="L28" s="6"/>
      <c r="M28" s="2" t="s">
        <v>1970</v>
      </c>
      <c r="N28" s="2" t="s">
        <v>2012</v>
      </c>
      <c r="O28" s="2" t="s">
        <v>1987</v>
      </c>
      <c r="P28" s="2" t="s">
        <v>1988</v>
      </c>
      <c r="Q28" s="2" t="s">
        <v>2714</v>
      </c>
      <c r="R28" s="11" t="str">
        <f>HYPERLINK("http://slimages.macys.com/is/image/MCY/9614138 ")</f>
        <v xml:space="preserve">http://slimages.macys.com/is/image/MCY/9614138 </v>
      </c>
    </row>
    <row r="29" spans="1:18" ht="24.75" x14ac:dyDescent="0.25">
      <c r="A29" s="8" t="s">
        <v>2715</v>
      </c>
      <c r="B29" s="2" t="s">
        <v>2716</v>
      </c>
      <c r="C29" s="4">
        <v>4</v>
      </c>
      <c r="D29" s="6">
        <v>11.69</v>
      </c>
      <c r="E29" s="6">
        <v>46.76</v>
      </c>
      <c r="F29" s="9">
        <v>34.99</v>
      </c>
      <c r="G29" s="6">
        <v>139.96</v>
      </c>
      <c r="H29" s="4" t="s">
        <v>2717</v>
      </c>
      <c r="I29" s="2" t="s">
        <v>2177</v>
      </c>
      <c r="J29" s="10"/>
      <c r="K29" s="6"/>
      <c r="L29" s="6"/>
      <c r="M29" s="2" t="s">
        <v>1970</v>
      </c>
      <c r="N29" s="2" t="s">
        <v>2012</v>
      </c>
      <c r="O29" s="2" t="s">
        <v>2331</v>
      </c>
      <c r="P29" s="2" t="s">
        <v>1988</v>
      </c>
      <c r="Q29" s="2" t="s">
        <v>1995</v>
      </c>
      <c r="R29" s="11" t="str">
        <f>HYPERLINK("http://slimages.macys.com/is/image/MCY/11685224 ")</f>
        <v xml:space="preserve">http://slimages.macys.com/is/image/MCY/11685224 </v>
      </c>
    </row>
    <row r="30" spans="1:18" ht="84.75" x14ac:dyDescent="0.25">
      <c r="A30" s="8" t="s">
        <v>2718</v>
      </c>
      <c r="B30" s="2" t="s">
        <v>2719</v>
      </c>
      <c r="C30" s="4">
        <v>1</v>
      </c>
      <c r="D30" s="6">
        <v>11.16</v>
      </c>
      <c r="E30" s="6">
        <v>11.16</v>
      </c>
      <c r="F30" s="9">
        <v>24.99</v>
      </c>
      <c r="G30" s="6">
        <v>24.99</v>
      </c>
      <c r="H30" s="4" t="s">
        <v>2720</v>
      </c>
      <c r="I30" s="2" t="s">
        <v>1993</v>
      </c>
      <c r="J30" s="10" t="s">
        <v>2314</v>
      </c>
      <c r="K30" s="6"/>
      <c r="L30" s="6"/>
      <c r="M30" s="2" t="s">
        <v>1970</v>
      </c>
      <c r="N30" s="2" t="s">
        <v>2012</v>
      </c>
      <c r="O30" s="2" t="s">
        <v>1987</v>
      </c>
      <c r="P30" s="2" t="s">
        <v>1988</v>
      </c>
      <c r="Q30" s="2" t="s">
        <v>2721</v>
      </c>
      <c r="R30" s="11" t="str">
        <f>HYPERLINK("http://slimages.macys.com/is/image/MCY/15494803 ")</f>
        <v xml:space="preserve">http://slimages.macys.com/is/image/MCY/15494803 </v>
      </c>
    </row>
    <row r="31" spans="1:18" ht="84.75" x14ac:dyDescent="0.25">
      <c r="A31" s="8" t="s">
        <v>2722</v>
      </c>
      <c r="B31" s="2" t="s">
        <v>2723</v>
      </c>
      <c r="C31" s="4">
        <v>1</v>
      </c>
      <c r="D31" s="6">
        <v>11.16</v>
      </c>
      <c r="E31" s="6">
        <v>11.16</v>
      </c>
      <c r="F31" s="9">
        <v>24.99</v>
      </c>
      <c r="G31" s="6">
        <v>24.99</v>
      </c>
      <c r="H31" s="4" t="s">
        <v>2724</v>
      </c>
      <c r="I31" s="2" t="s">
        <v>2071</v>
      </c>
      <c r="J31" s="10" t="s">
        <v>2314</v>
      </c>
      <c r="K31" s="6"/>
      <c r="L31" s="6"/>
      <c r="M31" s="2" t="s">
        <v>1970</v>
      </c>
      <c r="N31" s="2" t="s">
        <v>2012</v>
      </c>
      <c r="O31" s="2" t="s">
        <v>1987</v>
      </c>
      <c r="P31" s="2" t="s">
        <v>1988</v>
      </c>
      <c r="Q31" s="2" t="s">
        <v>2721</v>
      </c>
      <c r="R31" s="11" t="str">
        <f>HYPERLINK("http://slimages.macys.com/is/image/MCY/15494803 ")</f>
        <v xml:space="preserve">http://slimages.macys.com/is/image/MCY/15494803 </v>
      </c>
    </row>
    <row r="32" spans="1:18" ht="24.75" x14ac:dyDescent="0.25">
      <c r="A32" s="8" t="s">
        <v>2725</v>
      </c>
      <c r="B32" s="2" t="s">
        <v>2726</v>
      </c>
      <c r="C32" s="4">
        <v>3</v>
      </c>
      <c r="D32" s="6">
        <v>9</v>
      </c>
      <c r="E32" s="6">
        <v>27</v>
      </c>
      <c r="F32" s="9">
        <v>19.989999999999998</v>
      </c>
      <c r="G32" s="6">
        <v>59.97</v>
      </c>
      <c r="H32" s="4">
        <v>48070</v>
      </c>
      <c r="I32" s="2" t="s">
        <v>2727</v>
      </c>
      <c r="J32" s="10"/>
      <c r="K32" s="6"/>
      <c r="L32" s="6"/>
      <c r="M32" s="2" t="s">
        <v>1970</v>
      </c>
      <c r="N32" s="2" t="s">
        <v>2012</v>
      </c>
      <c r="O32" s="2" t="s">
        <v>2203</v>
      </c>
      <c r="P32" s="2" t="s">
        <v>1988</v>
      </c>
      <c r="Q32" s="2" t="s">
        <v>1995</v>
      </c>
      <c r="R32" s="11" t="str">
        <f>HYPERLINK("http://slimages.macys.com/is/image/MCY/8759583 ")</f>
        <v xml:space="preserve">http://slimages.macys.com/is/image/MCY/8759583 </v>
      </c>
    </row>
    <row r="33" spans="1:18" ht="24.75" x14ac:dyDescent="0.25">
      <c r="A33" s="8" t="s">
        <v>2728</v>
      </c>
      <c r="B33" s="2" t="s">
        <v>2729</v>
      </c>
      <c r="C33" s="4">
        <v>2</v>
      </c>
      <c r="D33" s="6">
        <v>8.69</v>
      </c>
      <c r="E33" s="6">
        <v>17.38</v>
      </c>
      <c r="F33" s="9">
        <v>18.989999999999998</v>
      </c>
      <c r="G33" s="6">
        <v>37.979999999999997</v>
      </c>
      <c r="H33" s="4">
        <v>6426194</v>
      </c>
      <c r="I33" s="2" t="s">
        <v>2430</v>
      </c>
      <c r="J33" s="10"/>
      <c r="K33" s="6"/>
      <c r="L33" s="6"/>
      <c r="M33" s="2" t="s">
        <v>1970</v>
      </c>
      <c r="N33" s="2" t="s">
        <v>2012</v>
      </c>
      <c r="O33" s="2" t="s">
        <v>2730</v>
      </c>
      <c r="P33" s="2" t="s">
        <v>1988</v>
      </c>
      <c r="Q33" s="2" t="s">
        <v>1995</v>
      </c>
      <c r="R33" s="11" t="str">
        <f>HYPERLINK("http://slimages.macys.com/is/image/MCY/1594475 ")</f>
        <v xml:space="preserve">http://slimages.macys.com/is/image/MCY/1594475 </v>
      </c>
    </row>
    <row r="34" spans="1:18" ht="24.75" x14ac:dyDescent="0.25">
      <c r="A34" s="8" t="s">
        <v>2731</v>
      </c>
      <c r="B34" s="2" t="s">
        <v>2732</v>
      </c>
      <c r="C34" s="4">
        <v>2</v>
      </c>
      <c r="D34" s="6">
        <v>10</v>
      </c>
      <c r="E34" s="6">
        <v>20</v>
      </c>
      <c r="F34" s="9">
        <v>40</v>
      </c>
      <c r="G34" s="6">
        <v>80</v>
      </c>
      <c r="H34" s="4" t="s">
        <v>2733</v>
      </c>
      <c r="I34" s="2" t="s">
        <v>2106</v>
      </c>
      <c r="J34" s="10" t="s">
        <v>2107</v>
      </c>
      <c r="K34" s="6"/>
      <c r="L34" s="6"/>
      <c r="M34" s="2" t="s">
        <v>1970</v>
      </c>
      <c r="N34" s="2" t="s">
        <v>2032</v>
      </c>
      <c r="O34" s="2" t="s">
        <v>2300</v>
      </c>
      <c r="P34" s="2"/>
      <c r="Q34" s="2"/>
      <c r="R34" s="11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34"/>
  <sheetViews>
    <sheetView topLeftCell="A24" workbookViewId="0">
      <selection activeCell="G45" sqref="G45:H45"/>
    </sheetView>
  </sheetViews>
  <sheetFormatPr defaultRowHeight="15" x14ac:dyDescent="0.25"/>
  <cols>
    <col min="1" max="1" width="14.28515625" customWidth="1"/>
    <col min="2" max="2" width="42.8554687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6" customWidth="1"/>
    <col min="9" max="10" width="11.42578125" customWidth="1"/>
    <col min="11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36.75" x14ac:dyDescent="0.25">
      <c r="A2" s="8" t="s">
        <v>2734</v>
      </c>
      <c r="B2" s="2" t="s">
        <v>2735</v>
      </c>
      <c r="C2" s="4">
        <v>1</v>
      </c>
      <c r="D2" s="6">
        <v>138.72999999999999</v>
      </c>
      <c r="E2" s="6">
        <v>138.72999999999999</v>
      </c>
      <c r="F2" s="9">
        <v>339.99</v>
      </c>
      <c r="G2" s="6">
        <v>339.99</v>
      </c>
      <c r="H2" s="4" t="s">
        <v>2736</v>
      </c>
      <c r="I2" s="2" t="s">
        <v>2026</v>
      </c>
      <c r="J2" s="10" t="s">
        <v>2737</v>
      </c>
      <c r="K2" s="6"/>
      <c r="L2" s="6"/>
      <c r="M2" s="2" t="s">
        <v>1970</v>
      </c>
      <c r="N2" s="2" t="s">
        <v>2738</v>
      </c>
      <c r="O2" s="2" t="s">
        <v>2739</v>
      </c>
      <c r="P2" s="2" t="s">
        <v>1988</v>
      </c>
      <c r="Q2" s="2"/>
      <c r="R2" s="11" t="str">
        <f>HYPERLINK("http://slimages.macys.com/is/image/MCY/14382815 ")</f>
        <v xml:space="preserve">http://slimages.macys.com/is/image/MCY/14382815 </v>
      </c>
    </row>
    <row r="3" spans="1:18" ht="24.75" x14ac:dyDescent="0.25">
      <c r="A3" s="8" t="s">
        <v>2740</v>
      </c>
      <c r="B3" s="2" t="s">
        <v>2741</v>
      </c>
      <c r="C3" s="4">
        <v>1</v>
      </c>
      <c r="D3" s="6">
        <v>99.4</v>
      </c>
      <c r="E3" s="6">
        <v>99.4</v>
      </c>
      <c r="F3" s="9">
        <v>292.99</v>
      </c>
      <c r="G3" s="6">
        <v>292.99</v>
      </c>
      <c r="H3" s="4" t="s">
        <v>2742</v>
      </c>
      <c r="I3" s="2" t="s">
        <v>1993</v>
      </c>
      <c r="J3" s="10"/>
      <c r="K3" s="6"/>
      <c r="L3" s="6"/>
      <c r="M3" s="2" t="s">
        <v>1970</v>
      </c>
      <c r="N3" s="2" t="s">
        <v>1986</v>
      </c>
      <c r="O3" s="2" t="s">
        <v>2013</v>
      </c>
      <c r="P3" s="2" t="s">
        <v>1988</v>
      </c>
      <c r="Q3" s="2" t="s">
        <v>1995</v>
      </c>
      <c r="R3" s="11" t="str">
        <f>HYPERLINK("http://slimages.macys.com/is/image/MCY/10981105 ")</f>
        <v xml:space="preserve">http://slimages.macys.com/is/image/MCY/10981105 </v>
      </c>
    </row>
    <row r="4" spans="1:18" ht="144.75" x14ac:dyDescent="0.25">
      <c r="A4" s="8" t="s">
        <v>2743</v>
      </c>
      <c r="B4" s="2" t="s">
        <v>2744</v>
      </c>
      <c r="C4" s="4">
        <v>1</v>
      </c>
      <c r="D4" s="6">
        <v>58.76</v>
      </c>
      <c r="E4" s="6">
        <v>58.76</v>
      </c>
      <c r="F4" s="9">
        <v>143.99</v>
      </c>
      <c r="G4" s="6">
        <v>143.99</v>
      </c>
      <c r="H4" s="4" t="s">
        <v>2745</v>
      </c>
      <c r="I4" s="2" t="s">
        <v>1993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2746</v>
      </c>
      <c r="R4" s="11" t="str">
        <f>HYPERLINK("http://slimages.macys.com/is/image/MCY/11112467 ")</f>
        <v xml:space="preserve">http://slimages.macys.com/is/image/MCY/11112467 </v>
      </c>
    </row>
    <row r="5" spans="1:18" ht="24.75" x14ac:dyDescent="0.25">
      <c r="A5" s="8" t="s">
        <v>2747</v>
      </c>
      <c r="B5" s="2" t="s">
        <v>2748</v>
      </c>
      <c r="C5" s="4">
        <v>1</v>
      </c>
      <c r="D5" s="6">
        <v>49.62</v>
      </c>
      <c r="E5" s="6">
        <v>49.62</v>
      </c>
      <c r="F5" s="9">
        <v>110.99</v>
      </c>
      <c r="G5" s="6">
        <v>110.99</v>
      </c>
      <c r="H5" s="4" t="s">
        <v>2749</v>
      </c>
      <c r="I5" s="2" t="s">
        <v>2017</v>
      </c>
      <c r="J5" s="10"/>
      <c r="K5" s="6"/>
      <c r="L5" s="6"/>
      <c r="M5" s="2" t="s">
        <v>1970</v>
      </c>
      <c r="N5" s="2" t="s">
        <v>2012</v>
      </c>
      <c r="O5" s="2" t="s">
        <v>1987</v>
      </c>
      <c r="P5" s="2" t="s">
        <v>1988</v>
      </c>
      <c r="Q5" s="2" t="s">
        <v>2507</v>
      </c>
      <c r="R5" s="11" t="str">
        <f>HYPERLINK("http://slimages.macys.com/is/image/MCY/12290540 ")</f>
        <v xml:space="preserve">http://slimages.macys.com/is/image/MCY/12290540 </v>
      </c>
    </row>
    <row r="6" spans="1:18" ht="24.75" x14ac:dyDescent="0.25">
      <c r="A6" s="8" t="s">
        <v>2750</v>
      </c>
      <c r="B6" s="2" t="s">
        <v>2751</v>
      </c>
      <c r="C6" s="4">
        <v>1</v>
      </c>
      <c r="D6" s="6">
        <v>56.83</v>
      </c>
      <c r="E6" s="6">
        <v>56.83</v>
      </c>
      <c r="F6" s="9">
        <v>134.99</v>
      </c>
      <c r="G6" s="6">
        <v>134.99</v>
      </c>
      <c r="H6" s="4" t="s">
        <v>2752</v>
      </c>
      <c r="I6" s="2" t="s">
        <v>2120</v>
      </c>
      <c r="J6" s="10"/>
      <c r="K6" s="6"/>
      <c r="L6" s="6"/>
      <c r="M6" s="2" t="s">
        <v>1970</v>
      </c>
      <c r="N6" s="2" t="s">
        <v>1986</v>
      </c>
      <c r="O6" s="2" t="s">
        <v>1987</v>
      </c>
      <c r="P6" s="2" t="s">
        <v>1988</v>
      </c>
      <c r="Q6" s="2"/>
      <c r="R6" s="11" t="str">
        <f>HYPERLINK("http://slimages.macys.com/is/image/MCY/8930125 ")</f>
        <v xml:space="preserve">http://slimages.macys.com/is/image/MCY/8930125 </v>
      </c>
    </row>
    <row r="7" spans="1:18" ht="24.75" x14ac:dyDescent="0.25">
      <c r="A7" s="8" t="s">
        <v>2753</v>
      </c>
      <c r="B7" s="2" t="s">
        <v>2754</v>
      </c>
      <c r="C7" s="4">
        <v>1</v>
      </c>
      <c r="D7" s="6">
        <v>54.55</v>
      </c>
      <c r="E7" s="6">
        <v>54.55</v>
      </c>
      <c r="F7" s="9">
        <v>129.99</v>
      </c>
      <c r="G7" s="6">
        <v>129.99</v>
      </c>
      <c r="H7" s="4" t="s">
        <v>2755</v>
      </c>
      <c r="I7" s="2" t="s">
        <v>2077</v>
      </c>
      <c r="J7" s="10"/>
      <c r="K7" s="6"/>
      <c r="L7" s="6"/>
      <c r="M7" s="2" t="s">
        <v>1970</v>
      </c>
      <c r="N7" s="2" t="s">
        <v>1986</v>
      </c>
      <c r="O7" s="2" t="s">
        <v>1987</v>
      </c>
      <c r="P7" s="2" t="s">
        <v>1988</v>
      </c>
      <c r="Q7" s="2" t="s">
        <v>1995</v>
      </c>
      <c r="R7" s="11" t="str">
        <f>HYPERLINK("http://slimages.macys.com/is/image/MCY/8930319 ")</f>
        <v xml:space="preserve">http://slimages.macys.com/is/image/MCY/8930319 </v>
      </c>
    </row>
    <row r="8" spans="1:18" ht="24.75" x14ac:dyDescent="0.25">
      <c r="A8" s="8" t="s">
        <v>2756</v>
      </c>
      <c r="B8" s="2" t="s">
        <v>2757</v>
      </c>
      <c r="C8" s="4">
        <v>1</v>
      </c>
      <c r="D8" s="6">
        <v>54.55</v>
      </c>
      <c r="E8" s="6">
        <v>54.55</v>
      </c>
      <c r="F8" s="9">
        <v>129.99</v>
      </c>
      <c r="G8" s="6">
        <v>129.99</v>
      </c>
      <c r="H8" s="4" t="s">
        <v>2758</v>
      </c>
      <c r="I8" s="2" t="s">
        <v>2017</v>
      </c>
      <c r="J8" s="10"/>
      <c r="K8" s="6"/>
      <c r="L8" s="6"/>
      <c r="M8" s="2" t="s">
        <v>1970</v>
      </c>
      <c r="N8" s="2" t="s">
        <v>1986</v>
      </c>
      <c r="O8" s="2" t="s">
        <v>1987</v>
      </c>
      <c r="P8" s="2" t="s">
        <v>1988</v>
      </c>
      <c r="Q8" s="2" t="s">
        <v>1995</v>
      </c>
      <c r="R8" s="11" t="str">
        <f>HYPERLINK("http://slimages.macys.com/is/image/MCY/8930319 ")</f>
        <v xml:space="preserve">http://slimages.macys.com/is/image/MCY/8930319 </v>
      </c>
    </row>
    <row r="9" spans="1:18" ht="24.75" x14ac:dyDescent="0.25">
      <c r="A9" s="8" t="s">
        <v>2759</v>
      </c>
      <c r="B9" s="2" t="s">
        <v>2760</v>
      </c>
      <c r="C9" s="4">
        <v>1</v>
      </c>
      <c r="D9" s="6">
        <v>40.6</v>
      </c>
      <c r="E9" s="6">
        <v>40.6</v>
      </c>
      <c r="F9" s="9">
        <v>90.99</v>
      </c>
      <c r="G9" s="6">
        <v>90.99</v>
      </c>
      <c r="H9" s="4" t="s">
        <v>2761</v>
      </c>
      <c r="I9" s="2" t="s">
        <v>1993</v>
      </c>
      <c r="J9" s="10"/>
      <c r="K9" s="6"/>
      <c r="L9" s="6"/>
      <c r="M9" s="2" t="s">
        <v>1970</v>
      </c>
      <c r="N9" s="2" t="s">
        <v>2012</v>
      </c>
      <c r="O9" s="2" t="s">
        <v>2013</v>
      </c>
      <c r="P9" s="2" t="s">
        <v>1988</v>
      </c>
      <c r="Q9" s="2" t="s">
        <v>1995</v>
      </c>
      <c r="R9" s="11" t="str">
        <f>HYPERLINK("http://slimages.macys.com/is/image/MCY/10023204 ")</f>
        <v xml:space="preserve">http://slimages.macys.com/is/image/MCY/10023204 </v>
      </c>
    </row>
    <row r="10" spans="1:18" ht="24.75" x14ac:dyDescent="0.25">
      <c r="A10" s="8" t="s">
        <v>2246</v>
      </c>
      <c r="B10" s="2" t="s">
        <v>2247</v>
      </c>
      <c r="C10" s="4">
        <v>1</v>
      </c>
      <c r="D10" s="6">
        <v>45.46</v>
      </c>
      <c r="E10" s="6">
        <v>45.46</v>
      </c>
      <c r="F10" s="9">
        <v>109.99</v>
      </c>
      <c r="G10" s="6">
        <v>109.99</v>
      </c>
      <c r="H10" s="4" t="s">
        <v>2248</v>
      </c>
      <c r="I10" s="2" t="s">
        <v>1993</v>
      </c>
      <c r="J10" s="10"/>
      <c r="K10" s="6"/>
      <c r="L10" s="6"/>
      <c r="M10" s="2" t="s">
        <v>1970</v>
      </c>
      <c r="N10" s="2" t="s">
        <v>1986</v>
      </c>
      <c r="O10" s="2" t="s">
        <v>1987</v>
      </c>
      <c r="P10" s="2" t="s">
        <v>1988</v>
      </c>
      <c r="Q10" s="2" t="s">
        <v>1995</v>
      </c>
      <c r="R10" s="11" t="str">
        <f>HYPERLINK("http://slimages.macys.com/is/image/MCY/8930319 ")</f>
        <v xml:space="preserve">http://slimages.macys.com/is/image/MCY/8930319 </v>
      </c>
    </row>
    <row r="11" spans="1:18" ht="24.75" x14ac:dyDescent="0.25">
      <c r="A11" s="8" t="s">
        <v>2762</v>
      </c>
      <c r="B11" s="2" t="s">
        <v>2763</v>
      </c>
      <c r="C11" s="4">
        <v>1</v>
      </c>
      <c r="D11" s="6">
        <v>32.21</v>
      </c>
      <c r="E11" s="6">
        <v>32.21</v>
      </c>
      <c r="F11" s="9">
        <v>59.99</v>
      </c>
      <c r="G11" s="6">
        <v>59.99</v>
      </c>
      <c r="H11" s="4" t="s">
        <v>2764</v>
      </c>
      <c r="I11" s="2" t="s">
        <v>2765</v>
      </c>
      <c r="J11" s="10"/>
      <c r="K11" s="6"/>
      <c r="L11" s="6"/>
      <c r="M11" s="2" t="s">
        <v>1970</v>
      </c>
      <c r="N11" s="2" t="s">
        <v>2012</v>
      </c>
      <c r="O11" s="2" t="s">
        <v>2416</v>
      </c>
      <c r="P11" s="2" t="s">
        <v>1988</v>
      </c>
      <c r="Q11" s="2" t="s">
        <v>1995</v>
      </c>
      <c r="R11" s="11" t="str">
        <f>HYPERLINK("http://slimages.macys.com/is/image/MCY/3465245 ")</f>
        <v xml:space="preserve">http://slimages.macys.com/is/image/MCY/3465245 </v>
      </c>
    </row>
    <row r="12" spans="1:18" ht="24.75" x14ac:dyDescent="0.25">
      <c r="A12" s="8" t="s">
        <v>2766</v>
      </c>
      <c r="B12" s="2" t="s">
        <v>2767</v>
      </c>
      <c r="C12" s="4">
        <v>1</v>
      </c>
      <c r="D12" s="6">
        <v>33.9</v>
      </c>
      <c r="E12" s="6">
        <v>33.9</v>
      </c>
      <c r="F12" s="9">
        <v>89.99</v>
      </c>
      <c r="G12" s="6">
        <v>89.99</v>
      </c>
      <c r="H12" s="4" t="s">
        <v>2768</v>
      </c>
      <c r="I12" s="2" t="s">
        <v>2087</v>
      </c>
      <c r="J12" s="10"/>
      <c r="K12" s="6"/>
      <c r="L12" s="6"/>
      <c r="M12" s="2" t="s">
        <v>1970</v>
      </c>
      <c r="N12" s="2" t="s">
        <v>1986</v>
      </c>
      <c r="O12" s="2" t="s">
        <v>2769</v>
      </c>
      <c r="P12" s="2" t="s">
        <v>1988</v>
      </c>
      <c r="Q12" s="2" t="s">
        <v>2770</v>
      </c>
      <c r="R12" s="11" t="str">
        <f>HYPERLINK("http://slimages.macys.com/is/image/MCY/12745134 ")</f>
        <v xml:space="preserve">http://slimages.macys.com/is/image/MCY/12745134 </v>
      </c>
    </row>
    <row r="13" spans="1:18" ht="48.75" x14ac:dyDescent="0.25">
      <c r="A13" s="8" t="s">
        <v>2771</v>
      </c>
      <c r="B13" s="2" t="s">
        <v>2772</v>
      </c>
      <c r="C13" s="4">
        <v>2</v>
      </c>
      <c r="D13" s="6">
        <v>24.75</v>
      </c>
      <c r="E13" s="6">
        <v>49.5</v>
      </c>
      <c r="F13" s="9">
        <v>64.989999999999995</v>
      </c>
      <c r="G13" s="6">
        <v>129.97999999999999</v>
      </c>
      <c r="H13" s="4">
        <v>80703</v>
      </c>
      <c r="I13" s="2" t="s">
        <v>2026</v>
      </c>
      <c r="J13" s="10"/>
      <c r="K13" s="6"/>
      <c r="L13" s="6"/>
      <c r="M13" s="2" t="s">
        <v>1970</v>
      </c>
      <c r="N13" s="2" t="s">
        <v>2005</v>
      </c>
      <c r="O13" s="2" t="s">
        <v>2098</v>
      </c>
      <c r="P13" s="2" t="s">
        <v>1988</v>
      </c>
      <c r="Q13" s="2" t="s">
        <v>2773</v>
      </c>
      <c r="R13" s="11" t="str">
        <f>HYPERLINK("http://slimages.macys.com/is/image/MCY/13586102 ")</f>
        <v xml:space="preserve">http://slimages.macys.com/is/image/MCY/13586102 </v>
      </c>
    </row>
    <row r="14" spans="1:18" ht="24.75" x14ac:dyDescent="0.25">
      <c r="A14" s="8" t="s">
        <v>2774</v>
      </c>
      <c r="B14" s="2" t="s">
        <v>2775</v>
      </c>
      <c r="C14" s="4">
        <v>2</v>
      </c>
      <c r="D14" s="6">
        <v>26.94</v>
      </c>
      <c r="E14" s="6">
        <v>53.88</v>
      </c>
      <c r="F14" s="9">
        <v>65.989999999999995</v>
      </c>
      <c r="G14" s="6">
        <v>131.97999999999999</v>
      </c>
      <c r="H14" s="4" t="s">
        <v>2776</v>
      </c>
      <c r="I14" s="2" t="s">
        <v>2017</v>
      </c>
      <c r="J14" s="10"/>
      <c r="K14" s="6"/>
      <c r="L14" s="6"/>
      <c r="M14" s="2" t="s">
        <v>1970</v>
      </c>
      <c r="N14" s="2" t="s">
        <v>1986</v>
      </c>
      <c r="O14" s="2" t="s">
        <v>1987</v>
      </c>
      <c r="P14" s="2" t="s">
        <v>1988</v>
      </c>
      <c r="Q14" s="2" t="s">
        <v>2777</v>
      </c>
      <c r="R14" s="11" t="str">
        <f>HYPERLINK("http://slimages.macys.com/is/image/MCY/9767741 ")</f>
        <v xml:space="preserve">http://slimages.macys.com/is/image/MCY/9767741 </v>
      </c>
    </row>
    <row r="15" spans="1:18" ht="36.75" x14ac:dyDescent="0.25">
      <c r="A15" s="8" t="s">
        <v>2778</v>
      </c>
      <c r="B15" s="2" t="s">
        <v>2779</v>
      </c>
      <c r="C15" s="4">
        <v>1</v>
      </c>
      <c r="D15" s="6">
        <v>23.05</v>
      </c>
      <c r="E15" s="6">
        <v>23.05</v>
      </c>
      <c r="F15" s="9">
        <v>64.989999999999995</v>
      </c>
      <c r="G15" s="6">
        <v>64.989999999999995</v>
      </c>
      <c r="H15" s="4" t="s">
        <v>2780</v>
      </c>
      <c r="I15" s="2" t="s">
        <v>2026</v>
      </c>
      <c r="J15" s="10" t="s">
        <v>2374</v>
      </c>
      <c r="K15" s="6"/>
      <c r="L15" s="6"/>
      <c r="M15" s="2" t="s">
        <v>1970</v>
      </c>
      <c r="N15" s="2" t="s">
        <v>2005</v>
      </c>
      <c r="O15" s="2" t="s">
        <v>2006</v>
      </c>
      <c r="P15" s="2" t="s">
        <v>1988</v>
      </c>
      <c r="Q15" s="2" t="s">
        <v>2781</v>
      </c>
      <c r="R15" s="11" t="str">
        <f>HYPERLINK("http://slimages.macys.com/is/image/MCY/15059930 ")</f>
        <v xml:space="preserve">http://slimages.macys.com/is/image/MCY/15059930 </v>
      </c>
    </row>
    <row r="16" spans="1:18" ht="48.75" x14ac:dyDescent="0.25">
      <c r="A16" s="8" t="s">
        <v>2782</v>
      </c>
      <c r="B16" s="2" t="s">
        <v>2783</v>
      </c>
      <c r="C16" s="4">
        <v>2</v>
      </c>
      <c r="D16" s="6">
        <v>18.760000000000002</v>
      </c>
      <c r="E16" s="6">
        <v>37.520000000000003</v>
      </c>
      <c r="F16" s="9">
        <v>42.99</v>
      </c>
      <c r="G16" s="6">
        <v>85.98</v>
      </c>
      <c r="H16" s="4" t="s">
        <v>2784</v>
      </c>
      <c r="I16" s="2" t="s">
        <v>2017</v>
      </c>
      <c r="J16" s="10"/>
      <c r="K16" s="6"/>
      <c r="L16" s="6"/>
      <c r="M16" s="2" t="s">
        <v>1970</v>
      </c>
      <c r="N16" s="2" t="s">
        <v>2012</v>
      </c>
      <c r="O16" s="2" t="s">
        <v>1987</v>
      </c>
      <c r="P16" s="2" t="s">
        <v>1988</v>
      </c>
      <c r="Q16" s="2" t="s">
        <v>2785</v>
      </c>
      <c r="R16" s="11" t="str">
        <f>HYPERLINK("http://slimages.macys.com/is/image/MCY/9912812 ")</f>
        <v xml:space="preserve">http://slimages.macys.com/is/image/MCY/9912812 </v>
      </c>
    </row>
    <row r="17" spans="1:18" ht="24.75" x14ac:dyDescent="0.25">
      <c r="A17" s="8" t="s">
        <v>2786</v>
      </c>
      <c r="B17" s="2" t="s">
        <v>2787</v>
      </c>
      <c r="C17" s="4">
        <v>2</v>
      </c>
      <c r="D17" s="6">
        <v>18.2</v>
      </c>
      <c r="E17" s="6">
        <v>36.4</v>
      </c>
      <c r="F17" s="9">
        <v>53.99</v>
      </c>
      <c r="G17" s="6">
        <v>107.98</v>
      </c>
      <c r="H17" s="4" t="s">
        <v>2788</v>
      </c>
      <c r="I17" s="2" t="s">
        <v>2120</v>
      </c>
      <c r="J17" s="10"/>
      <c r="K17" s="6"/>
      <c r="L17" s="6"/>
      <c r="M17" s="2" t="s">
        <v>1970</v>
      </c>
      <c r="N17" s="2" t="s">
        <v>2012</v>
      </c>
      <c r="O17" s="2" t="s">
        <v>2013</v>
      </c>
      <c r="P17" s="2" t="s">
        <v>1988</v>
      </c>
      <c r="Q17" s="2" t="s">
        <v>1995</v>
      </c>
      <c r="R17" s="11" t="str">
        <f>HYPERLINK("http://slimages.macys.com/is/image/MCY/13814869 ")</f>
        <v xml:space="preserve">http://slimages.macys.com/is/image/MCY/13814869 </v>
      </c>
    </row>
    <row r="18" spans="1:18" ht="24.75" x14ac:dyDescent="0.25">
      <c r="A18" s="8" t="s">
        <v>2789</v>
      </c>
      <c r="B18" s="2" t="s">
        <v>2790</v>
      </c>
      <c r="C18" s="4">
        <v>1</v>
      </c>
      <c r="D18" s="6">
        <v>17.96</v>
      </c>
      <c r="E18" s="6">
        <v>17.96</v>
      </c>
      <c r="F18" s="9">
        <v>44.99</v>
      </c>
      <c r="G18" s="6">
        <v>44.99</v>
      </c>
      <c r="H18" s="4" t="s">
        <v>2791</v>
      </c>
      <c r="I18" s="2" t="s">
        <v>2026</v>
      </c>
      <c r="J18" s="10" t="s">
        <v>2374</v>
      </c>
      <c r="K18" s="6"/>
      <c r="L18" s="6"/>
      <c r="M18" s="2" t="s">
        <v>1970</v>
      </c>
      <c r="N18" s="2" t="s">
        <v>2005</v>
      </c>
      <c r="O18" s="2" t="s">
        <v>2038</v>
      </c>
      <c r="P18" s="2" t="s">
        <v>1988</v>
      </c>
      <c r="Q18" s="2" t="s">
        <v>2063</v>
      </c>
      <c r="R18" s="11" t="str">
        <f>HYPERLINK("http://slimages.macys.com/is/image/MCY/11798727 ")</f>
        <v xml:space="preserve">http://slimages.macys.com/is/image/MCY/11798727 </v>
      </c>
    </row>
    <row r="19" spans="1:18" ht="24.75" x14ac:dyDescent="0.25">
      <c r="A19" s="8" t="s">
        <v>2792</v>
      </c>
      <c r="B19" s="2" t="s">
        <v>2793</v>
      </c>
      <c r="C19" s="4">
        <v>1</v>
      </c>
      <c r="D19" s="6">
        <v>17.87</v>
      </c>
      <c r="E19" s="6">
        <v>17.87</v>
      </c>
      <c r="F19" s="9">
        <v>44.99</v>
      </c>
      <c r="G19" s="6">
        <v>44.99</v>
      </c>
      <c r="H19" s="4" t="s">
        <v>2794</v>
      </c>
      <c r="I19" s="2" t="s">
        <v>2560</v>
      </c>
      <c r="J19" s="10"/>
      <c r="K19" s="6"/>
      <c r="L19" s="6"/>
      <c r="M19" s="2" t="s">
        <v>1970</v>
      </c>
      <c r="N19" s="2" t="s">
        <v>2012</v>
      </c>
      <c r="O19" s="2" t="s">
        <v>1987</v>
      </c>
      <c r="P19" s="2" t="s">
        <v>1988</v>
      </c>
      <c r="Q19" s="2"/>
      <c r="R19" s="11" t="str">
        <f>HYPERLINK("http://slimages.macys.com/is/image/MCY/9310362 ")</f>
        <v xml:space="preserve">http://slimages.macys.com/is/image/MCY/9310362 </v>
      </c>
    </row>
    <row r="20" spans="1:18" ht="36.75" x14ac:dyDescent="0.25">
      <c r="A20" s="8" t="s">
        <v>2795</v>
      </c>
      <c r="B20" s="2" t="s">
        <v>2796</v>
      </c>
      <c r="C20" s="4">
        <v>1</v>
      </c>
      <c r="D20" s="6">
        <v>20.7</v>
      </c>
      <c r="E20" s="6">
        <v>20.7</v>
      </c>
      <c r="F20" s="9">
        <v>67.989999999999995</v>
      </c>
      <c r="G20" s="6">
        <v>67.989999999999995</v>
      </c>
      <c r="H20" s="4" t="s">
        <v>2797</v>
      </c>
      <c r="I20" s="2" t="s">
        <v>2011</v>
      </c>
      <c r="J20" s="10"/>
      <c r="K20" s="6"/>
      <c r="L20" s="6"/>
      <c r="M20" s="2" t="s">
        <v>1970</v>
      </c>
      <c r="N20" s="2" t="s">
        <v>1986</v>
      </c>
      <c r="O20" s="2" t="s">
        <v>2216</v>
      </c>
      <c r="P20" s="2" t="s">
        <v>1988</v>
      </c>
      <c r="Q20" s="2" t="s">
        <v>2245</v>
      </c>
      <c r="R20" s="11" t="str">
        <f>HYPERLINK("http://slimages.macys.com/is/image/MCY/10144838 ")</f>
        <v xml:space="preserve">http://slimages.macys.com/is/image/MCY/10144838 </v>
      </c>
    </row>
    <row r="21" spans="1:18" ht="24.75" x14ac:dyDescent="0.25">
      <c r="A21" s="8" t="s">
        <v>2798</v>
      </c>
      <c r="B21" s="2" t="s">
        <v>2799</v>
      </c>
      <c r="C21" s="4">
        <v>1</v>
      </c>
      <c r="D21" s="6">
        <v>16</v>
      </c>
      <c r="E21" s="6">
        <v>16</v>
      </c>
      <c r="F21" s="9">
        <v>47.99</v>
      </c>
      <c r="G21" s="6">
        <v>47.99</v>
      </c>
      <c r="H21" s="4" t="s">
        <v>2800</v>
      </c>
      <c r="I21" s="2" t="s">
        <v>2120</v>
      </c>
      <c r="J21" s="10"/>
      <c r="K21" s="6"/>
      <c r="L21" s="6"/>
      <c r="M21" s="2" t="s">
        <v>1970</v>
      </c>
      <c r="N21" s="2" t="s">
        <v>2012</v>
      </c>
      <c r="O21" s="2" t="s">
        <v>2801</v>
      </c>
      <c r="P21" s="2" t="s">
        <v>1988</v>
      </c>
      <c r="Q21" s="2" t="s">
        <v>1995</v>
      </c>
      <c r="R21" s="11" t="str">
        <f>HYPERLINK("http://slimages.macys.com/is/image/MCY/16352372 ")</f>
        <v xml:space="preserve">http://slimages.macys.com/is/image/MCY/16352372 </v>
      </c>
    </row>
    <row r="22" spans="1:18" ht="24.75" x14ac:dyDescent="0.25">
      <c r="A22" s="8" t="s">
        <v>2802</v>
      </c>
      <c r="B22" s="2" t="s">
        <v>2803</v>
      </c>
      <c r="C22" s="4">
        <v>3</v>
      </c>
      <c r="D22" s="6">
        <v>15.62</v>
      </c>
      <c r="E22" s="6">
        <v>46.86</v>
      </c>
      <c r="F22" s="9">
        <v>38.99</v>
      </c>
      <c r="G22" s="6">
        <v>116.97</v>
      </c>
      <c r="H22" s="4" t="s">
        <v>2804</v>
      </c>
      <c r="I22" s="2" t="s">
        <v>1993</v>
      </c>
      <c r="J22" s="10"/>
      <c r="K22" s="6"/>
      <c r="L22" s="6"/>
      <c r="M22" s="2" t="s">
        <v>1970</v>
      </c>
      <c r="N22" s="2" t="s">
        <v>2012</v>
      </c>
      <c r="O22" s="2" t="s">
        <v>1987</v>
      </c>
      <c r="P22" s="2" t="s">
        <v>1988</v>
      </c>
      <c r="Q22" s="2" t="s">
        <v>2067</v>
      </c>
      <c r="R22" s="11" t="str">
        <f>HYPERLINK("http://slimages.macys.com/is/image/MCY/9310362 ")</f>
        <v xml:space="preserve">http://slimages.macys.com/is/image/MCY/9310362 </v>
      </c>
    </row>
    <row r="23" spans="1:18" ht="24.75" x14ac:dyDescent="0.25">
      <c r="A23" s="8" t="s">
        <v>2805</v>
      </c>
      <c r="B23" s="2" t="s">
        <v>2806</v>
      </c>
      <c r="C23" s="4">
        <v>2</v>
      </c>
      <c r="D23" s="6">
        <v>15.62</v>
      </c>
      <c r="E23" s="6">
        <v>31.24</v>
      </c>
      <c r="F23" s="9">
        <v>38.99</v>
      </c>
      <c r="G23" s="6">
        <v>77.98</v>
      </c>
      <c r="H23" s="4" t="s">
        <v>2807</v>
      </c>
      <c r="I23" s="2" t="s">
        <v>2560</v>
      </c>
      <c r="J23" s="10"/>
      <c r="K23" s="6"/>
      <c r="L23" s="6"/>
      <c r="M23" s="2" t="s">
        <v>1970</v>
      </c>
      <c r="N23" s="2" t="s">
        <v>2012</v>
      </c>
      <c r="O23" s="2" t="s">
        <v>1987</v>
      </c>
      <c r="P23" s="2" t="s">
        <v>1988</v>
      </c>
      <c r="Q23" s="2" t="s">
        <v>2067</v>
      </c>
      <c r="R23" s="11" t="str">
        <f>HYPERLINK("http://slimages.macys.com/is/image/MCY/9310362 ")</f>
        <v xml:space="preserve">http://slimages.macys.com/is/image/MCY/9310362 </v>
      </c>
    </row>
    <row r="24" spans="1:18" ht="24.75" x14ac:dyDescent="0.25">
      <c r="A24" s="8" t="s">
        <v>2808</v>
      </c>
      <c r="B24" s="2" t="s">
        <v>2809</v>
      </c>
      <c r="C24" s="4">
        <v>4</v>
      </c>
      <c r="D24" s="6">
        <v>14.5</v>
      </c>
      <c r="E24" s="6">
        <v>58</v>
      </c>
      <c r="F24" s="9">
        <v>29.99</v>
      </c>
      <c r="G24" s="6">
        <v>119.96</v>
      </c>
      <c r="H24" s="4" t="s">
        <v>2810</v>
      </c>
      <c r="I24" s="2" t="s">
        <v>2811</v>
      </c>
      <c r="J24" s="10"/>
      <c r="K24" s="6"/>
      <c r="L24" s="6"/>
      <c r="M24" s="2" t="s">
        <v>1970</v>
      </c>
      <c r="N24" s="2" t="s">
        <v>2012</v>
      </c>
      <c r="O24" s="2" t="s">
        <v>2812</v>
      </c>
      <c r="P24" s="2" t="s">
        <v>1988</v>
      </c>
      <c r="Q24" s="2" t="s">
        <v>2813</v>
      </c>
      <c r="R24" s="11" t="str">
        <f>HYPERLINK("http://slimages.macys.com/is/image/MCY/9169530 ")</f>
        <v xml:space="preserve">http://slimages.macys.com/is/image/MCY/9169530 </v>
      </c>
    </row>
    <row r="25" spans="1:18" ht="24.75" x14ac:dyDescent="0.25">
      <c r="A25" s="8" t="s">
        <v>2814</v>
      </c>
      <c r="B25" s="2" t="s">
        <v>2815</v>
      </c>
      <c r="C25" s="4">
        <v>2</v>
      </c>
      <c r="D25" s="6">
        <v>14.39</v>
      </c>
      <c r="E25" s="6">
        <v>28.78</v>
      </c>
      <c r="F25" s="9">
        <v>30.99</v>
      </c>
      <c r="G25" s="6">
        <v>61.98</v>
      </c>
      <c r="H25" s="4" t="s">
        <v>2816</v>
      </c>
      <c r="I25" s="2" t="s">
        <v>2017</v>
      </c>
      <c r="J25" s="10"/>
      <c r="K25" s="6"/>
      <c r="L25" s="6"/>
      <c r="M25" s="2" t="s">
        <v>1970</v>
      </c>
      <c r="N25" s="2" t="s">
        <v>2012</v>
      </c>
      <c r="O25" s="2" t="s">
        <v>1987</v>
      </c>
      <c r="P25" s="2" t="s">
        <v>1988</v>
      </c>
      <c r="Q25" s="2" t="s">
        <v>2817</v>
      </c>
      <c r="R25" s="11" t="str">
        <f>HYPERLINK("http://slimages.macys.com/is/image/MCY/9539706 ")</f>
        <v xml:space="preserve">http://slimages.macys.com/is/image/MCY/9539706 </v>
      </c>
    </row>
    <row r="26" spans="1:18" ht="60.75" x14ac:dyDescent="0.25">
      <c r="A26" s="8" t="s">
        <v>2818</v>
      </c>
      <c r="B26" s="2" t="s">
        <v>2819</v>
      </c>
      <c r="C26" s="4">
        <v>3</v>
      </c>
      <c r="D26" s="6">
        <v>14.29</v>
      </c>
      <c r="E26" s="6">
        <v>42.87</v>
      </c>
      <c r="F26" s="9">
        <v>31.99</v>
      </c>
      <c r="G26" s="6">
        <v>95.97</v>
      </c>
      <c r="H26" s="4" t="s">
        <v>2820</v>
      </c>
      <c r="I26" s="2" t="s">
        <v>2071</v>
      </c>
      <c r="J26" s="10" t="s">
        <v>2072</v>
      </c>
      <c r="K26" s="6"/>
      <c r="L26" s="6"/>
      <c r="M26" s="2" t="s">
        <v>1970</v>
      </c>
      <c r="N26" s="2" t="s">
        <v>2012</v>
      </c>
      <c r="O26" s="2" t="s">
        <v>1987</v>
      </c>
      <c r="P26" s="2" t="s">
        <v>1988</v>
      </c>
      <c r="Q26" s="2" t="s">
        <v>2821</v>
      </c>
      <c r="R26" s="11" t="str">
        <f>HYPERLINK("http://slimages.macys.com/is/image/MCY/9613989 ")</f>
        <v xml:space="preserve">http://slimages.macys.com/is/image/MCY/9613989 </v>
      </c>
    </row>
    <row r="27" spans="1:18" ht="24.75" x14ac:dyDescent="0.25">
      <c r="A27" s="8" t="s">
        <v>2822</v>
      </c>
      <c r="B27" s="2" t="s">
        <v>2823</v>
      </c>
      <c r="C27" s="4">
        <v>4</v>
      </c>
      <c r="D27" s="6">
        <v>13.64</v>
      </c>
      <c r="E27" s="6">
        <v>54.56</v>
      </c>
      <c r="F27" s="9">
        <v>34.99</v>
      </c>
      <c r="G27" s="6">
        <v>139.96</v>
      </c>
      <c r="H27" s="4" t="s">
        <v>2824</v>
      </c>
      <c r="I27" s="2" t="s">
        <v>2825</v>
      </c>
      <c r="J27" s="10" t="s">
        <v>2826</v>
      </c>
      <c r="K27" s="6"/>
      <c r="L27" s="6"/>
      <c r="M27" s="2" t="s">
        <v>1970</v>
      </c>
      <c r="N27" s="2" t="s">
        <v>2012</v>
      </c>
      <c r="O27" s="2" t="s">
        <v>1987</v>
      </c>
      <c r="P27" s="2" t="s">
        <v>1988</v>
      </c>
      <c r="Q27" s="2" t="s">
        <v>2827</v>
      </c>
      <c r="R27" s="11" t="str">
        <f>HYPERLINK("http://slimages.macys.com/is/image/MCY/8810083 ")</f>
        <v xml:space="preserve">http://slimages.macys.com/is/image/MCY/8810083 </v>
      </c>
    </row>
    <row r="28" spans="1:18" ht="24.75" x14ac:dyDescent="0.25">
      <c r="A28" s="8" t="s">
        <v>2828</v>
      </c>
      <c r="B28" s="2" t="s">
        <v>2829</v>
      </c>
      <c r="C28" s="4">
        <v>2</v>
      </c>
      <c r="D28" s="6">
        <v>11</v>
      </c>
      <c r="E28" s="6">
        <v>22</v>
      </c>
      <c r="F28" s="9">
        <v>31.99</v>
      </c>
      <c r="G28" s="6">
        <v>63.98</v>
      </c>
      <c r="H28" s="4" t="s">
        <v>2830</v>
      </c>
      <c r="I28" s="2" t="s">
        <v>2026</v>
      </c>
      <c r="J28" s="10"/>
      <c r="K28" s="6"/>
      <c r="L28" s="6"/>
      <c r="M28" s="2" t="s">
        <v>1970</v>
      </c>
      <c r="N28" s="2" t="s">
        <v>2012</v>
      </c>
      <c r="O28" s="2" t="s">
        <v>2831</v>
      </c>
      <c r="P28" s="2" t="s">
        <v>1988</v>
      </c>
      <c r="Q28" s="2" t="s">
        <v>2063</v>
      </c>
      <c r="R28" s="11" t="str">
        <f>HYPERLINK("http://slimages.macys.com/is/image/MCY/14436272 ")</f>
        <v xml:space="preserve">http://slimages.macys.com/is/image/MCY/14436272 </v>
      </c>
    </row>
    <row r="29" spans="1:18" ht="24.75" x14ac:dyDescent="0.25">
      <c r="A29" s="8" t="s">
        <v>2832</v>
      </c>
      <c r="B29" s="2" t="s">
        <v>2833</v>
      </c>
      <c r="C29" s="4">
        <v>1</v>
      </c>
      <c r="D29" s="6">
        <v>9.93</v>
      </c>
      <c r="E29" s="6">
        <v>9.93</v>
      </c>
      <c r="F29" s="9">
        <v>24.99</v>
      </c>
      <c r="G29" s="6">
        <v>24.99</v>
      </c>
      <c r="H29" s="4" t="s">
        <v>2834</v>
      </c>
      <c r="I29" s="2" t="s">
        <v>2120</v>
      </c>
      <c r="J29" s="10"/>
      <c r="K29" s="6"/>
      <c r="L29" s="6"/>
      <c r="M29" s="2" t="s">
        <v>1970</v>
      </c>
      <c r="N29" s="2" t="s">
        <v>2012</v>
      </c>
      <c r="O29" s="2" t="s">
        <v>1987</v>
      </c>
      <c r="P29" s="2" t="s">
        <v>1988</v>
      </c>
      <c r="Q29" s="2" t="s">
        <v>2310</v>
      </c>
      <c r="R29" s="11" t="str">
        <f>HYPERLINK("http://slimages.macys.com/is/image/MCY/9964171 ")</f>
        <v xml:space="preserve">http://slimages.macys.com/is/image/MCY/9964171 </v>
      </c>
    </row>
    <row r="30" spans="1:18" ht="36.75" x14ac:dyDescent="0.25">
      <c r="A30" s="8" t="s">
        <v>2835</v>
      </c>
      <c r="B30" s="2" t="s">
        <v>2836</v>
      </c>
      <c r="C30" s="4">
        <v>1</v>
      </c>
      <c r="D30" s="6">
        <v>9.39</v>
      </c>
      <c r="E30" s="6">
        <v>9.39</v>
      </c>
      <c r="F30" s="9">
        <v>34.99</v>
      </c>
      <c r="G30" s="6">
        <v>34.99</v>
      </c>
      <c r="H30" s="4" t="s">
        <v>2837</v>
      </c>
      <c r="I30" s="2" t="s">
        <v>2026</v>
      </c>
      <c r="J30" s="10" t="s">
        <v>2107</v>
      </c>
      <c r="K30" s="6"/>
      <c r="L30" s="6"/>
      <c r="M30" s="2" t="s">
        <v>1970</v>
      </c>
      <c r="N30" s="2" t="s">
        <v>2005</v>
      </c>
      <c r="O30" s="2" t="s">
        <v>2838</v>
      </c>
      <c r="P30" s="2" t="s">
        <v>1988</v>
      </c>
      <c r="Q30" s="2" t="s">
        <v>2839</v>
      </c>
      <c r="R30" s="11" t="str">
        <f>HYPERLINK("http://slimages.macys.com/is/image/MCY/10388715 ")</f>
        <v xml:space="preserve">http://slimages.macys.com/is/image/MCY/10388715 </v>
      </c>
    </row>
    <row r="31" spans="1:18" ht="24.75" x14ac:dyDescent="0.25">
      <c r="A31" s="8" t="s">
        <v>2840</v>
      </c>
      <c r="B31" s="2" t="s">
        <v>2841</v>
      </c>
      <c r="C31" s="4">
        <v>2</v>
      </c>
      <c r="D31" s="6">
        <v>10.39</v>
      </c>
      <c r="E31" s="6">
        <v>20.78</v>
      </c>
      <c r="F31" s="9">
        <v>25.99</v>
      </c>
      <c r="G31" s="6">
        <v>51.98</v>
      </c>
      <c r="H31" s="4" t="s">
        <v>2842</v>
      </c>
      <c r="I31" s="2" t="s">
        <v>2430</v>
      </c>
      <c r="J31" s="10"/>
      <c r="K31" s="6"/>
      <c r="L31" s="6"/>
      <c r="M31" s="2" t="s">
        <v>1970</v>
      </c>
      <c r="N31" s="2" t="s">
        <v>2032</v>
      </c>
      <c r="O31" s="2" t="s">
        <v>1987</v>
      </c>
      <c r="P31" s="2" t="s">
        <v>1988</v>
      </c>
      <c r="Q31" s="2"/>
      <c r="R31" s="11" t="str">
        <f>HYPERLINK("http://slimages.macys.com/is/image/MCY/9827375 ")</f>
        <v xml:space="preserve">http://slimages.macys.com/is/image/MCY/9827375 </v>
      </c>
    </row>
    <row r="32" spans="1:18" ht="24.75" x14ac:dyDescent="0.25">
      <c r="A32" s="8" t="s">
        <v>2843</v>
      </c>
      <c r="B32" s="2" t="s">
        <v>2844</v>
      </c>
      <c r="C32" s="4">
        <v>1</v>
      </c>
      <c r="D32" s="6">
        <v>8.23</v>
      </c>
      <c r="E32" s="6">
        <v>8.23</v>
      </c>
      <c r="F32" s="9">
        <v>39.99</v>
      </c>
      <c r="G32" s="6">
        <v>39.99</v>
      </c>
      <c r="H32" s="4" t="s">
        <v>2845</v>
      </c>
      <c r="I32" s="2" t="s">
        <v>2017</v>
      </c>
      <c r="J32" s="10"/>
      <c r="K32" s="6"/>
      <c r="L32" s="6"/>
      <c r="M32" s="2" t="s">
        <v>1970</v>
      </c>
      <c r="N32" s="2" t="s">
        <v>2846</v>
      </c>
      <c r="O32" s="2" t="s">
        <v>2847</v>
      </c>
      <c r="P32" s="2" t="s">
        <v>1988</v>
      </c>
      <c r="Q32" s="2" t="s">
        <v>2095</v>
      </c>
      <c r="R32" s="11" t="str">
        <f>HYPERLINK("http://slimages.macys.com/is/image/MCY/9936550 ")</f>
        <v xml:space="preserve">http://slimages.macys.com/is/image/MCY/9936550 </v>
      </c>
    </row>
    <row r="33" spans="1:18" ht="24.75" x14ac:dyDescent="0.25">
      <c r="A33" s="8" t="s">
        <v>2848</v>
      </c>
      <c r="B33" s="2" t="s">
        <v>2849</v>
      </c>
      <c r="C33" s="4">
        <v>1</v>
      </c>
      <c r="D33" s="6">
        <v>4.84</v>
      </c>
      <c r="E33" s="6">
        <v>4.84</v>
      </c>
      <c r="F33" s="9">
        <v>14.99</v>
      </c>
      <c r="G33" s="6">
        <v>14.99</v>
      </c>
      <c r="H33" s="4" t="s">
        <v>2850</v>
      </c>
      <c r="I33" s="2" t="s">
        <v>2683</v>
      </c>
      <c r="J33" s="10" t="s">
        <v>2326</v>
      </c>
      <c r="K33" s="6"/>
      <c r="L33" s="6"/>
      <c r="M33" s="2" t="s">
        <v>1970</v>
      </c>
      <c r="N33" s="2" t="s">
        <v>2851</v>
      </c>
      <c r="O33" s="2" t="s">
        <v>2847</v>
      </c>
      <c r="P33" s="2" t="s">
        <v>1988</v>
      </c>
      <c r="Q33" s="2"/>
      <c r="R33" s="11" t="str">
        <f>HYPERLINK("http://slimages.macys.com/is/image/MCY/11946724 ")</f>
        <v xml:space="preserve">http://slimages.macys.com/is/image/MCY/11946724 </v>
      </c>
    </row>
    <row r="34" spans="1:18" ht="24.75" x14ac:dyDescent="0.25">
      <c r="A34" s="8" t="s">
        <v>2852</v>
      </c>
      <c r="B34" s="2" t="s">
        <v>2853</v>
      </c>
      <c r="C34" s="4">
        <v>1</v>
      </c>
      <c r="D34" s="6">
        <v>4.6900000000000004</v>
      </c>
      <c r="E34" s="6">
        <v>4.6900000000000004</v>
      </c>
      <c r="F34" s="9">
        <v>19.989999999999998</v>
      </c>
      <c r="G34" s="6">
        <v>19.989999999999998</v>
      </c>
      <c r="H34" s="4">
        <v>1001059700</v>
      </c>
      <c r="I34" s="2" t="s">
        <v>2026</v>
      </c>
      <c r="J34" s="10" t="s">
        <v>2326</v>
      </c>
      <c r="K34" s="6"/>
      <c r="L34" s="6"/>
      <c r="M34" s="2" t="s">
        <v>1970</v>
      </c>
      <c r="N34" s="2" t="s">
        <v>2851</v>
      </c>
      <c r="O34" s="2" t="s">
        <v>2854</v>
      </c>
      <c r="P34" s="2" t="s">
        <v>1988</v>
      </c>
      <c r="Q34" s="2"/>
      <c r="R34" s="11" t="str">
        <f>HYPERLINK("http://slimages.macys.com/is/image/MCY/9369374 ")</f>
        <v xml:space="preserve">http://slimages.macys.com/is/image/MCY/9369374 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27"/>
  <sheetViews>
    <sheetView topLeftCell="A15" workbookViewId="0">
      <selection activeCell="H32" sqref="H32"/>
    </sheetView>
  </sheetViews>
  <sheetFormatPr defaultRowHeight="15" x14ac:dyDescent="0.25"/>
  <cols>
    <col min="1" max="1" width="14.28515625" customWidth="1"/>
    <col min="2" max="2" width="26.8554687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1971</v>
      </c>
      <c r="B1" s="1" t="s">
        <v>1972</v>
      </c>
      <c r="C1" s="1" t="s">
        <v>1973</v>
      </c>
      <c r="D1" s="1" t="s">
        <v>1962</v>
      </c>
      <c r="E1" s="1" t="s">
        <v>1967</v>
      </c>
      <c r="F1" s="1" t="s">
        <v>1963</v>
      </c>
      <c r="G1" s="1" t="s">
        <v>1968</v>
      </c>
      <c r="H1" s="1" t="s">
        <v>1974</v>
      </c>
      <c r="I1" s="1" t="s">
        <v>1975</v>
      </c>
      <c r="J1" s="1" t="s">
        <v>1976</v>
      </c>
      <c r="K1" s="1"/>
      <c r="L1" s="1"/>
      <c r="M1" s="1" t="s">
        <v>1969</v>
      </c>
      <c r="N1" s="1" t="s">
        <v>1977</v>
      </c>
      <c r="O1" s="1" t="s">
        <v>1978</v>
      </c>
      <c r="P1" s="1" t="s">
        <v>1979</v>
      </c>
      <c r="Q1" s="1" t="s">
        <v>1980</v>
      </c>
      <c r="R1" s="1" t="s">
        <v>1981</v>
      </c>
    </row>
    <row r="2" spans="1:18" ht="132.75" x14ac:dyDescent="0.25">
      <c r="A2" s="8" t="s">
        <v>2855</v>
      </c>
      <c r="B2" s="2" t="s">
        <v>2856</v>
      </c>
      <c r="C2" s="4">
        <v>1</v>
      </c>
      <c r="D2" s="6">
        <v>71.41</v>
      </c>
      <c r="E2" s="6">
        <v>71.41</v>
      </c>
      <c r="F2" s="9">
        <v>256.99</v>
      </c>
      <c r="G2" s="6">
        <v>256.99</v>
      </c>
      <c r="H2" s="4" t="s">
        <v>2857</v>
      </c>
      <c r="I2" s="2" t="s">
        <v>2177</v>
      </c>
      <c r="J2" s="10"/>
      <c r="K2" s="6"/>
      <c r="L2" s="6"/>
      <c r="M2" s="2" t="s">
        <v>1970</v>
      </c>
      <c r="N2" s="2" t="s">
        <v>1986</v>
      </c>
      <c r="O2" s="2" t="s">
        <v>1987</v>
      </c>
      <c r="P2" s="2" t="s">
        <v>1988</v>
      </c>
      <c r="Q2" s="2" t="s">
        <v>2858</v>
      </c>
      <c r="R2" s="11" t="str">
        <f>HYPERLINK("http://slimages.macys.com/is/image/MCY/12930204 ")</f>
        <v xml:space="preserve">http://slimages.macys.com/is/image/MCY/12930204 </v>
      </c>
    </row>
    <row r="3" spans="1:18" ht="24.75" x14ac:dyDescent="0.25">
      <c r="A3" s="8" t="s">
        <v>2859</v>
      </c>
      <c r="B3" s="2" t="s">
        <v>2860</v>
      </c>
      <c r="C3" s="4">
        <v>1</v>
      </c>
      <c r="D3" s="6">
        <v>65.650000000000006</v>
      </c>
      <c r="E3" s="6">
        <v>65.650000000000006</v>
      </c>
      <c r="F3" s="9">
        <v>164.99</v>
      </c>
      <c r="G3" s="6">
        <v>164.99</v>
      </c>
      <c r="H3" s="4" t="s">
        <v>2861</v>
      </c>
      <c r="I3" s="2" t="s">
        <v>2077</v>
      </c>
      <c r="J3" s="10" t="s">
        <v>2107</v>
      </c>
      <c r="K3" s="6"/>
      <c r="L3" s="6"/>
      <c r="M3" s="2" t="s">
        <v>1970</v>
      </c>
      <c r="N3" s="2" t="s">
        <v>1986</v>
      </c>
      <c r="O3" s="2" t="s">
        <v>2233</v>
      </c>
      <c r="P3" s="2" t="s">
        <v>1988</v>
      </c>
      <c r="Q3" s="2" t="s">
        <v>1995</v>
      </c>
      <c r="R3" s="11" t="str">
        <f>HYPERLINK("http://slimages.macys.com/is/image/MCY/11533993 ")</f>
        <v xml:space="preserve">http://slimages.macys.com/is/image/MCY/11533993 </v>
      </c>
    </row>
    <row r="4" spans="1:18" ht="24.75" x14ac:dyDescent="0.25">
      <c r="A4" s="8" t="s">
        <v>2862</v>
      </c>
      <c r="B4" s="2" t="s">
        <v>2863</v>
      </c>
      <c r="C4" s="4">
        <v>1</v>
      </c>
      <c r="D4" s="6">
        <v>63.65</v>
      </c>
      <c r="E4" s="6">
        <v>63.65</v>
      </c>
      <c r="F4" s="9">
        <v>159.99</v>
      </c>
      <c r="G4" s="6">
        <v>159.99</v>
      </c>
      <c r="H4" s="4" t="s">
        <v>2864</v>
      </c>
      <c r="I4" s="2" t="s">
        <v>2177</v>
      </c>
      <c r="J4" s="10"/>
      <c r="K4" s="6"/>
      <c r="L4" s="6"/>
      <c r="M4" s="2" t="s">
        <v>1970</v>
      </c>
      <c r="N4" s="2" t="s">
        <v>1986</v>
      </c>
      <c r="O4" s="2" t="s">
        <v>1987</v>
      </c>
      <c r="P4" s="2" t="s">
        <v>1988</v>
      </c>
      <c r="Q4" s="2" t="s">
        <v>1995</v>
      </c>
      <c r="R4" s="11" t="str">
        <f>HYPERLINK("http://slimages.macys.com/is/image/MCY/8931970 ")</f>
        <v xml:space="preserve">http://slimages.macys.com/is/image/MCY/8931970 </v>
      </c>
    </row>
    <row r="5" spans="1:18" ht="48.75" x14ac:dyDescent="0.25">
      <c r="A5" s="8" t="s">
        <v>2865</v>
      </c>
      <c r="B5" s="2" t="s">
        <v>2866</v>
      </c>
      <c r="C5" s="4">
        <v>1</v>
      </c>
      <c r="D5" s="6">
        <v>56.42</v>
      </c>
      <c r="E5" s="6">
        <v>56.42</v>
      </c>
      <c r="F5" s="9">
        <v>137.99</v>
      </c>
      <c r="G5" s="6">
        <v>137.99</v>
      </c>
      <c r="H5" s="4" t="s">
        <v>2867</v>
      </c>
      <c r="I5" s="2" t="s">
        <v>2071</v>
      </c>
      <c r="J5" s="10"/>
      <c r="K5" s="6"/>
      <c r="L5" s="6"/>
      <c r="M5" s="2" t="s">
        <v>1970</v>
      </c>
      <c r="N5" s="2" t="s">
        <v>1986</v>
      </c>
      <c r="O5" s="2" t="s">
        <v>1987</v>
      </c>
      <c r="P5" s="2" t="s">
        <v>1988</v>
      </c>
      <c r="Q5" s="2" t="s">
        <v>2868</v>
      </c>
      <c r="R5" s="11" t="str">
        <f>HYPERLINK("http://slimages.macys.com/is/image/MCY/9798727 ")</f>
        <v xml:space="preserve">http://slimages.macys.com/is/image/MCY/9798727 </v>
      </c>
    </row>
    <row r="6" spans="1:18" ht="24.75" x14ac:dyDescent="0.25">
      <c r="A6" s="8" t="s">
        <v>2869</v>
      </c>
      <c r="B6" s="2" t="s">
        <v>2870</v>
      </c>
      <c r="C6" s="4">
        <v>1</v>
      </c>
      <c r="D6" s="6">
        <v>52.85</v>
      </c>
      <c r="E6" s="6">
        <v>52.85</v>
      </c>
      <c r="F6" s="9">
        <v>144.99</v>
      </c>
      <c r="G6" s="6">
        <v>144.99</v>
      </c>
      <c r="H6" s="4" t="s">
        <v>2871</v>
      </c>
      <c r="I6" s="2"/>
      <c r="J6" s="10"/>
      <c r="K6" s="6"/>
      <c r="L6" s="6"/>
      <c r="M6" s="2" t="s">
        <v>1970</v>
      </c>
      <c r="N6" s="2" t="s">
        <v>1986</v>
      </c>
      <c r="O6" s="2" t="s">
        <v>1994</v>
      </c>
      <c r="P6" s="2" t="s">
        <v>1988</v>
      </c>
      <c r="Q6" s="2" t="s">
        <v>1995</v>
      </c>
      <c r="R6" s="11" t="str">
        <f>HYPERLINK("http://slimages.macys.com/is/image/MCY/16409224 ")</f>
        <v xml:space="preserve">http://slimages.macys.com/is/image/MCY/16409224 </v>
      </c>
    </row>
    <row r="7" spans="1:18" ht="60.75" x14ac:dyDescent="0.25">
      <c r="A7" s="8" t="s">
        <v>2872</v>
      </c>
      <c r="B7" s="2" t="s">
        <v>2873</v>
      </c>
      <c r="C7" s="4">
        <v>1</v>
      </c>
      <c r="D7" s="6">
        <v>40.5</v>
      </c>
      <c r="E7" s="6">
        <v>40.5</v>
      </c>
      <c r="F7" s="9">
        <v>99.99</v>
      </c>
      <c r="G7" s="6">
        <v>99.99</v>
      </c>
      <c r="H7" s="4">
        <v>60896</v>
      </c>
      <c r="I7" s="2" t="s">
        <v>2026</v>
      </c>
      <c r="J7" s="10"/>
      <c r="K7" s="6"/>
      <c r="L7" s="6"/>
      <c r="M7" s="2" t="s">
        <v>1970</v>
      </c>
      <c r="N7" s="2" t="s">
        <v>2005</v>
      </c>
      <c r="O7" s="2" t="s">
        <v>2098</v>
      </c>
      <c r="P7" s="2" t="s">
        <v>2499</v>
      </c>
      <c r="Q7" s="2" t="s">
        <v>2874</v>
      </c>
      <c r="R7" s="11" t="str">
        <f>HYPERLINK("http://slimages.macys.com/is/image/MCY/13359217 ")</f>
        <v xml:space="preserve">http://slimages.macys.com/is/image/MCY/13359217 </v>
      </c>
    </row>
    <row r="8" spans="1:18" ht="36.75" x14ac:dyDescent="0.25">
      <c r="A8" s="8" t="s">
        <v>2875</v>
      </c>
      <c r="B8" s="2" t="s">
        <v>2876</v>
      </c>
      <c r="C8" s="4">
        <v>1</v>
      </c>
      <c r="D8" s="6">
        <v>39.08</v>
      </c>
      <c r="E8" s="6">
        <v>39.08</v>
      </c>
      <c r="F8" s="9">
        <v>95.99</v>
      </c>
      <c r="G8" s="6">
        <v>95.99</v>
      </c>
      <c r="H8" s="4" t="s">
        <v>2877</v>
      </c>
      <c r="I8" s="2"/>
      <c r="J8" s="10"/>
      <c r="K8" s="6"/>
      <c r="L8" s="6"/>
      <c r="M8" s="2" t="s">
        <v>1970</v>
      </c>
      <c r="N8" s="2" t="s">
        <v>2012</v>
      </c>
      <c r="O8" s="2" t="s">
        <v>1987</v>
      </c>
      <c r="P8" s="2" t="s">
        <v>1988</v>
      </c>
      <c r="Q8" s="2" t="s">
        <v>2878</v>
      </c>
      <c r="R8" s="11" t="str">
        <f>HYPERLINK("http://slimages.macys.com/is/image/MCY/9775060 ")</f>
        <v xml:space="preserve">http://slimages.macys.com/is/image/MCY/9775060 </v>
      </c>
    </row>
    <row r="9" spans="1:18" ht="24.75" x14ac:dyDescent="0.25">
      <c r="A9" s="8" t="s">
        <v>2879</v>
      </c>
      <c r="B9" s="2" t="s">
        <v>2880</v>
      </c>
      <c r="C9" s="4">
        <v>1</v>
      </c>
      <c r="D9" s="6">
        <v>44.9</v>
      </c>
      <c r="E9" s="6">
        <v>44.9</v>
      </c>
      <c r="F9" s="9">
        <v>119.99</v>
      </c>
      <c r="G9" s="6">
        <v>119.99</v>
      </c>
      <c r="H9" s="4" t="s">
        <v>2881</v>
      </c>
      <c r="I9" s="2" t="s">
        <v>2683</v>
      </c>
      <c r="J9" s="10"/>
      <c r="K9" s="6"/>
      <c r="L9" s="6"/>
      <c r="M9" s="2" t="s">
        <v>1970</v>
      </c>
      <c r="N9" s="2" t="s">
        <v>2167</v>
      </c>
      <c r="O9" s="2" t="s">
        <v>2443</v>
      </c>
      <c r="P9" s="2" t="s">
        <v>1988</v>
      </c>
      <c r="Q9" s="2" t="s">
        <v>2444</v>
      </c>
      <c r="R9" s="11" t="str">
        <f>HYPERLINK("http://slimages.macys.com/is/image/MCY/8491178 ")</f>
        <v xml:space="preserve">http://slimages.macys.com/is/image/MCY/8491178 </v>
      </c>
    </row>
    <row r="10" spans="1:18" ht="72.75" x14ac:dyDescent="0.25">
      <c r="A10" s="8" t="s">
        <v>2882</v>
      </c>
      <c r="B10" s="2" t="s">
        <v>2883</v>
      </c>
      <c r="C10" s="4">
        <v>1</v>
      </c>
      <c r="D10" s="6">
        <v>44.14</v>
      </c>
      <c r="E10" s="6">
        <v>44.14</v>
      </c>
      <c r="F10" s="9">
        <v>147.99</v>
      </c>
      <c r="G10" s="6">
        <v>147.99</v>
      </c>
      <c r="H10" s="4" t="s">
        <v>2884</v>
      </c>
      <c r="I10" s="2" t="s">
        <v>2162</v>
      </c>
      <c r="J10" s="10"/>
      <c r="K10" s="6"/>
      <c r="L10" s="6"/>
      <c r="M10" s="2" t="s">
        <v>1970</v>
      </c>
      <c r="N10" s="2" t="s">
        <v>1986</v>
      </c>
      <c r="O10" s="2" t="s">
        <v>1987</v>
      </c>
      <c r="P10" s="2" t="s">
        <v>1988</v>
      </c>
      <c r="Q10" s="2" t="s">
        <v>2885</v>
      </c>
      <c r="R10" s="11" t="str">
        <f>HYPERLINK("http://slimages.macys.com/is/image/MCY/11113967 ")</f>
        <v xml:space="preserve">http://slimages.macys.com/is/image/MCY/11113967 </v>
      </c>
    </row>
    <row r="11" spans="1:18" ht="60.75" x14ac:dyDescent="0.25">
      <c r="A11" s="8" t="s">
        <v>2636</v>
      </c>
      <c r="B11" s="2" t="s">
        <v>2886</v>
      </c>
      <c r="C11" s="4">
        <v>1</v>
      </c>
      <c r="D11" s="6">
        <v>40.68</v>
      </c>
      <c r="E11" s="6">
        <v>40.68</v>
      </c>
      <c r="F11" s="9">
        <v>88.99</v>
      </c>
      <c r="G11" s="6">
        <v>88.99</v>
      </c>
      <c r="H11" s="4" t="s">
        <v>2638</v>
      </c>
      <c r="I11" s="2" t="s">
        <v>2017</v>
      </c>
      <c r="J11" s="10"/>
      <c r="K11" s="6"/>
      <c r="L11" s="6"/>
      <c r="M11" s="2" t="s">
        <v>1970</v>
      </c>
      <c r="N11" s="2" t="s">
        <v>1986</v>
      </c>
      <c r="O11" s="2" t="s">
        <v>1987</v>
      </c>
      <c r="P11" s="2" t="s">
        <v>1988</v>
      </c>
      <c r="Q11" s="2" t="s">
        <v>2639</v>
      </c>
      <c r="R11" s="11" t="str">
        <f>HYPERLINK("http://slimages.macys.com/is/image/MCY/9767708 ")</f>
        <v xml:space="preserve">http://slimages.macys.com/is/image/MCY/9767708 </v>
      </c>
    </row>
    <row r="12" spans="1:18" ht="72.75" x14ac:dyDescent="0.25">
      <c r="A12" s="8" t="s">
        <v>2887</v>
      </c>
      <c r="B12" s="2" t="s">
        <v>2888</v>
      </c>
      <c r="C12" s="4">
        <v>1</v>
      </c>
      <c r="D12" s="6">
        <v>34.729999999999997</v>
      </c>
      <c r="E12" s="6">
        <v>34.729999999999997</v>
      </c>
      <c r="F12" s="9">
        <v>77.989999999999995</v>
      </c>
      <c r="G12" s="6">
        <v>77.989999999999995</v>
      </c>
      <c r="H12" s="4" t="s">
        <v>2889</v>
      </c>
      <c r="I12" s="2" t="s">
        <v>1993</v>
      </c>
      <c r="J12" s="10"/>
      <c r="K12" s="6"/>
      <c r="L12" s="6"/>
      <c r="M12" s="2" t="s">
        <v>1970</v>
      </c>
      <c r="N12" s="2" t="s">
        <v>2012</v>
      </c>
      <c r="O12" s="2" t="s">
        <v>1987</v>
      </c>
      <c r="P12" s="2" t="s">
        <v>1988</v>
      </c>
      <c r="Q12" s="2" t="s">
        <v>2150</v>
      </c>
      <c r="R12" s="11" t="str">
        <f>HYPERLINK("http://slimages.macys.com/is/image/MCY/12291966 ")</f>
        <v xml:space="preserve">http://slimages.macys.com/is/image/MCY/12291966 </v>
      </c>
    </row>
    <row r="13" spans="1:18" ht="24.75" x14ac:dyDescent="0.25">
      <c r="A13" s="8" t="s">
        <v>2890</v>
      </c>
      <c r="B13" s="2" t="s">
        <v>2891</v>
      </c>
      <c r="C13" s="4">
        <v>1</v>
      </c>
      <c r="D13" s="6">
        <v>37.4</v>
      </c>
      <c r="E13" s="6">
        <v>37.4</v>
      </c>
      <c r="F13" s="9">
        <v>99.99</v>
      </c>
      <c r="G13" s="6">
        <v>99.99</v>
      </c>
      <c r="H13" s="4" t="s">
        <v>2892</v>
      </c>
      <c r="I13" s="2" t="s">
        <v>2893</v>
      </c>
      <c r="J13" s="10"/>
      <c r="K13" s="6"/>
      <c r="L13" s="6"/>
      <c r="M13" s="2" t="s">
        <v>1970</v>
      </c>
      <c r="N13" s="2" t="s">
        <v>2167</v>
      </c>
      <c r="O13" s="2" t="s">
        <v>2443</v>
      </c>
      <c r="P13" s="2" t="s">
        <v>1988</v>
      </c>
      <c r="Q13" s="2"/>
      <c r="R13" s="11" t="str">
        <f>HYPERLINK("http://slimages.macys.com/is/image/MCY/8460135 ")</f>
        <v xml:space="preserve">http://slimages.macys.com/is/image/MCY/8460135 </v>
      </c>
    </row>
    <row r="14" spans="1:18" ht="24.75" x14ac:dyDescent="0.25">
      <c r="A14" s="8" t="s">
        <v>2894</v>
      </c>
      <c r="B14" s="2" t="s">
        <v>2895</v>
      </c>
      <c r="C14" s="4">
        <v>2</v>
      </c>
      <c r="D14" s="6">
        <v>22.82</v>
      </c>
      <c r="E14" s="6">
        <v>45.64</v>
      </c>
      <c r="F14" s="9">
        <v>69.989999999999995</v>
      </c>
      <c r="G14" s="6">
        <v>139.97999999999999</v>
      </c>
      <c r="H14" s="4" t="s">
        <v>2896</v>
      </c>
      <c r="I14" s="2" t="s">
        <v>2897</v>
      </c>
      <c r="J14" s="10"/>
      <c r="K14" s="6"/>
      <c r="L14" s="6"/>
      <c r="M14" s="2" t="s">
        <v>1970</v>
      </c>
      <c r="N14" s="2" t="s">
        <v>2032</v>
      </c>
      <c r="O14" s="2" t="s">
        <v>2898</v>
      </c>
      <c r="P14" s="2" t="s">
        <v>1988</v>
      </c>
      <c r="Q14" s="2"/>
      <c r="R14" s="11" t="str">
        <f>HYPERLINK("http://slimages.macys.com/is/image/MCY/9965724 ")</f>
        <v xml:space="preserve">http://slimages.macys.com/is/image/MCY/9965724 </v>
      </c>
    </row>
    <row r="15" spans="1:18" ht="24.75" x14ac:dyDescent="0.25">
      <c r="A15" s="8" t="s">
        <v>2899</v>
      </c>
      <c r="B15" s="2" t="s">
        <v>2900</v>
      </c>
      <c r="C15" s="4">
        <v>4</v>
      </c>
      <c r="D15" s="6">
        <v>22.82</v>
      </c>
      <c r="E15" s="6">
        <v>91.28</v>
      </c>
      <c r="F15" s="9">
        <v>69.989999999999995</v>
      </c>
      <c r="G15" s="6">
        <v>279.95999999999998</v>
      </c>
      <c r="H15" s="4" t="s">
        <v>2896</v>
      </c>
      <c r="I15" s="2" t="s">
        <v>2294</v>
      </c>
      <c r="J15" s="10"/>
      <c r="K15" s="6"/>
      <c r="L15" s="6"/>
      <c r="M15" s="2" t="s">
        <v>1970</v>
      </c>
      <c r="N15" s="2" t="s">
        <v>2032</v>
      </c>
      <c r="O15" s="2" t="s">
        <v>2898</v>
      </c>
      <c r="P15" s="2" t="s">
        <v>1988</v>
      </c>
      <c r="Q15" s="2"/>
      <c r="R15" s="11" t="str">
        <f>HYPERLINK("http://slimages.macys.com/is/image/MCY/9965724 ")</f>
        <v xml:space="preserve">http://slimages.macys.com/is/image/MCY/9965724 </v>
      </c>
    </row>
    <row r="16" spans="1:18" ht="24.75" x14ac:dyDescent="0.25">
      <c r="A16" s="8" t="s">
        <v>2901</v>
      </c>
      <c r="B16" s="2" t="s">
        <v>2902</v>
      </c>
      <c r="C16" s="4">
        <v>4</v>
      </c>
      <c r="D16" s="6">
        <v>19.690000000000001</v>
      </c>
      <c r="E16" s="6">
        <v>78.760000000000005</v>
      </c>
      <c r="F16" s="9">
        <v>59.99</v>
      </c>
      <c r="G16" s="6">
        <v>239.96</v>
      </c>
      <c r="H16" s="4" t="s">
        <v>2903</v>
      </c>
      <c r="I16" s="2" t="s">
        <v>2294</v>
      </c>
      <c r="J16" s="10"/>
      <c r="K16" s="6"/>
      <c r="L16" s="6"/>
      <c r="M16" s="2" t="s">
        <v>1970</v>
      </c>
      <c r="N16" s="2" t="s">
        <v>2032</v>
      </c>
      <c r="O16" s="2" t="s">
        <v>2898</v>
      </c>
      <c r="P16" s="2" t="s">
        <v>1988</v>
      </c>
      <c r="Q16" s="2" t="s">
        <v>1995</v>
      </c>
      <c r="R16" s="11" t="str">
        <f>HYPERLINK("http://slimages.macys.com/is/image/MCY/9965724 ")</f>
        <v xml:space="preserve">http://slimages.macys.com/is/image/MCY/9965724 </v>
      </c>
    </row>
    <row r="17" spans="1:18" ht="24.75" x14ac:dyDescent="0.25">
      <c r="A17" s="8" t="s">
        <v>2904</v>
      </c>
      <c r="B17" s="2" t="s">
        <v>2905</v>
      </c>
      <c r="C17" s="4">
        <v>4</v>
      </c>
      <c r="D17" s="6">
        <v>19.690000000000001</v>
      </c>
      <c r="E17" s="6">
        <v>78.760000000000005</v>
      </c>
      <c r="F17" s="9">
        <v>59.99</v>
      </c>
      <c r="G17" s="6">
        <v>239.96</v>
      </c>
      <c r="H17" s="4" t="s">
        <v>2903</v>
      </c>
      <c r="I17" s="2" t="s">
        <v>2897</v>
      </c>
      <c r="J17" s="10"/>
      <c r="K17" s="6"/>
      <c r="L17" s="6"/>
      <c r="M17" s="2" t="s">
        <v>1970</v>
      </c>
      <c r="N17" s="2" t="s">
        <v>2032</v>
      </c>
      <c r="O17" s="2" t="s">
        <v>2898</v>
      </c>
      <c r="P17" s="2" t="s">
        <v>1988</v>
      </c>
      <c r="Q17" s="2" t="s">
        <v>1995</v>
      </c>
      <c r="R17" s="11" t="str">
        <f>HYPERLINK("http://slimages.macys.com/is/image/MCY/9965724 ")</f>
        <v xml:space="preserve">http://slimages.macys.com/is/image/MCY/9965724 </v>
      </c>
    </row>
    <row r="18" spans="1:18" ht="24.75" x14ac:dyDescent="0.25">
      <c r="A18" s="8" t="s">
        <v>2906</v>
      </c>
      <c r="B18" s="2" t="s">
        <v>2907</v>
      </c>
      <c r="C18" s="4">
        <v>1</v>
      </c>
      <c r="D18" s="6">
        <v>18.399999999999999</v>
      </c>
      <c r="E18" s="6">
        <v>18.399999999999999</v>
      </c>
      <c r="F18" s="9">
        <v>59.99</v>
      </c>
      <c r="G18" s="6">
        <v>59.99</v>
      </c>
      <c r="H18" s="4" t="s">
        <v>2908</v>
      </c>
      <c r="I18" s="2" t="s">
        <v>2017</v>
      </c>
      <c r="J18" s="10" t="s">
        <v>2909</v>
      </c>
      <c r="K18" s="6"/>
      <c r="L18" s="6"/>
      <c r="M18" s="2" t="s">
        <v>1970</v>
      </c>
      <c r="N18" s="2" t="s">
        <v>2032</v>
      </c>
      <c r="O18" s="2" t="s">
        <v>2910</v>
      </c>
      <c r="P18" s="2" t="s">
        <v>1988</v>
      </c>
      <c r="Q18" s="2"/>
      <c r="R18" s="11" t="str">
        <f>HYPERLINK("http://slimages.macys.com/is/image/MCY/15202993 ")</f>
        <v xml:space="preserve">http://slimages.macys.com/is/image/MCY/15202993 </v>
      </c>
    </row>
    <row r="19" spans="1:18" ht="24.75" x14ac:dyDescent="0.25">
      <c r="A19" s="8" t="s">
        <v>2911</v>
      </c>
      <c r="B19" s="2" t="s">
        <v>2912</v>
      </c>
      <c r="C19" s="4">
        <v>1</v>
      </c>
      <c r="D19" s="6">
        <v>15.62</v>
      </c>
      <c r="E19" s="6">
        <v>15.62</v>
      </c>
      <c r="F19" s="9">
        <v>34.99</v>
      </c>
      <c r="G19" s="6">
        <v>34.99</v>
      </c>
      <c r="H19" s="4" t="s">
        <v>2913</v>
      </c>
      <c r="I19" s="2" t="s">
        <v>1985</v>
      </c>
      <c r="J19" s="10" t="s">
        <v>2314</v>
      </c>
      <c r="K19" s="6"/>
      <c r="L19" s="6"/>
      <c r="M19" s="2" t="s">
        <v>1970</v>
      </c>
      <c r="N19" s="2" t="s">
        <v>2012</v>
      </c>
      <c r="O19" s="2" t="s">
        <v>1987</v>
      </c>
      <c r="P19" s="2" t="s">
        <v>1988</v>
      </c>
      <c r="Q19" s="2" t="s">
        <v>2914</v>
      </c>
      <c r="R19" s="11" t="str">
        <f>HYPERLINK("http://slimages.macys.com/is/image/MCY/9612551 ")</f>
        <v xml:space="preserve">http://slimages.macys.com/is/image/MCY/9612551 </v>
      </c>
    </row>
    <row r="20" spans="1:18" ht="24.75" x14ac:dyDescent="0.25">
      <c r="A20" s="8" t="s">
        <v>2808</v>
      </c>
      <c r="B20" s="2" t="s">
        <v>2915</v>
      </c>
      <c r="C20" s="4">
        <v>1</v>
      </c>
      <c r="D20" s="6">
        <v>14.5</v>
      </c>
      <c r="E20" s="6">
        <v>14.5</v>
      </c>
      <c r="F20" s="9">
        <v>29.99</v>
      </c>
      <c r="G20" s="6">
        <v>29.99</v>
      </c>
      <c r="H20" s="4" t="s">
        <v>2810</v>
      </c>
      <c r="I20" s="2" t="s">
        <v>2811</v>
      </c>
      <c r="J20" s="10"/>
      <c r="K20" s="6"/>
      <c r="L20" s="6"/>
      <c r="M20" s="2" t="s">
        <v>1970</v>
      </c>
      <c r="N20" s="2" t="s">
        <v>2012</v>
      </c>
      <c r="O20" s="2" t="s">
        <v>2812</v>
      </c>
      <c r="P20" s="2" t="s">
        <v>1988</v>
      </c>
      <c r="Q20" s="2" t="s">
        <v>2813</v>
      </c>
      <c r="R20" s="11" t="str">
        <f>HYPERLINK("http://slimages.macys.com/is/image/MCY/9169530 ")</f>
        <v xml:space="preserve">http://slimages.macys.com/is/image/MCY/9169530 </v>
      </c>
    </row>
    <row r="21" spans="1:18" ht="24.75" x14ac:dyDescent="0.25">
      <c r="A21" s="8" t="s">
        <v>2916</v>
      </c>
      <c r="B21" s="2" t="s">
        <v>2917</v>
      </c>
      <c r="C21" s="4">
        <v>1</v>
      </c>
      <c r="D21" s="6">
        <v>13.39</v>
      </c>
      <c r="E21" s="6">
        <v>13.39</v>
      </c>
      <c r="F21" s="9">
        <v>29.99</v>
      </c>
      <c r="G21" s="6">
        <v>29.99</v>
      </c>
      <c r="H21" s="4" t="s">
        <v>2918</v>
      </c>
      <c r="I21" s="2" t="s">
        <v>1993</v>
      </c>
      <c r="J21" s="10"/>
      <c r="K21" s="6"/>
      <c r="L21" s="6"/>
      <c r="M21" s="2" t="s">
        <v>1970</v>
      </c>
      <c r="N21" s="2" t="s">
        <v>2012</v>
      </c>
      <c r="O21" s="2" t="s">
        <v>1987</v>
      </c>
      <c r="P21" s="2" t="s">
        <v>1988</v>
      </c>
      <c r="Q21" s="2" t="s">
        <v>1995</v>
      </c>
      <c r="R21" s="11" t="str">
        <f>HYPERLINK("http://slimages.macys.com/is/image/MCY/9615705 ")</f>
        <v xml:space="preserve">http://slimages.macys.com/is/image/MCY/9615705 </v>
      </c>
    </row>
    <row r="22" spans="1:18" ht="24.75" x14ac:dyDescent="0.25">
      <c r="A22" s="8" t="s">
        <v>2919</v>
      </c>
      <c r="B22" s="2" t="s">
        <v>2920</v>
      </c>
      <c r="C22" s="4">
        <v>1</v>
      </c>
      <c r="D22" s="6">
        <v>12.53</v>
      </c>
      <c r="E22" s="6">
        <v>12.53</v>
      </c>
      <c r="F22" s="9">
        <v>29.99</v>
      </c>
      <c r="G22" s="6">
        <v>29.99</v>
      </c>
      <c r="H22" s="4" t="s">
        <v>2921</v>
      </c>
      <c r="I22" s="2" t="s">
        <v>2021</v>
      </c>
      <c r="J22" s="10"/>
      <c r="K22" s="6"/>
      <c r="L22" s="6"/>
      <c r="M22" s="2" t="s">
        <v>1970</v>
      </c>
      <c r="N22" s="2" t="s">
        <v>2184</v>
      </c>
      <c r="O22" s="2" t="s">
        <v>1987</v>
      </c>
      <c r="P22" s="2" t="s">
        <v>1988</v>
      </c>
      <c r="Q22" s="2" t="s">
        <v>2770</v>
      </c>
      <c r="R22" s="11" t="str">
        <f>HYPERLINK("http://slimages.macys.com/is/image/MCY/10082432 ")</f>
        <v xml:space="preserve">http://slimages.macys.com/is/image/MCY/10082432 </v>
      </c>
    </row>
    <row r="23" spans="1:18" ht="24.75" x14ac:dyDescent="0.25">
      <c r="A23" s="8" t="s">
        <v>2922</v>
      </c>
      <c r="B23" s="2" t="s">
        <v>2923</v>
      </c>
      <c r="C23" s="4">
        <v>12</v>
      </c>
      <c r="D23" s="6">
        <v>8.8699999999999992</v>
      </c>
      <c r="E23" s="6">
        <v>106.44</v>
      </c>
      <c r="F23" s="9">
        <v>9.99</v>
      </c>
      <c r="G23" s="6">
        <v>119.88</v>
      </c>
      <c r="H23" s="4" t="s">
        <v>2924</v>
      </c>
      <c r="I23" s="2" t="s">
        <v>2031</v>
      </c>
      <c r="J23" s="10"/>
      <c r="K23" s="6"/>
      <c r="L23" s="6"/>
      <c r="M23" s="2" t="s">
        <v>1970</v>
      </c>
      <c r="N23" s="2" t="s">
        <v>2012</v>
      </c>
      <c r="O23" s="2" t="s">
        <v>2196</v>
      </c>
      <c r="P23" s="2" t="s">
        <v>1988</v>
      </c>
      <c r="Q23" s="2"/>
      <c r="R23" s="11" t="str">
        <f>HYPERLINK("http://slimages.macys.com/is/image/MCY/15383508 ")</f>
        <v xml:space="preserve">http://slimages.macys.com/is/image/MCY/15383508 </v>
      </c>
    </row>
    <row r="24" spans="1:18" ht="24.75" x14ac:dyDescent="0.25">
      <c r="A24" s="8" t="s">
        <v>2193</v>
      </c>
      <c r="B24" s="2" t="s">
        <v>2925</v>
      </c>
      <c r="C24" s="4">
        <v>3</v>
      </c>
      <c r="D24" s="6">
        <v>8.8699999999999992</v>
      </c>
      <c r="E24" s="6">
        <v>26.61</v>
      </c>
      <c r="F24" s="9">
        <v>9.99</v>
      </c>
      <c r="G24" s="6">
        <v>29.97</v>
      </c>
      <c r="H24" s="4" t="s">
        <v>2195</v>
      </c>
      <c r="I24" s="2" t="s">
        <v>1993</v>
      </c>
      <c r="J24" s="10"/>
      <c r="K24" s="6"/>
      <c r="L24" s="6"/>
      <c r="M24" s="2" t="s">
        <v>1970</v>
      </c>
      <c r="N24" s="2" t="s">
        <v>2012</v>
      </c>
      <c r="O24" s="2" t="s">
        <v>2196</v>
      </c>
      <c r="P24" s="2" t="s">
        <v>1988</v>
      </c>
      <c r="Q24" s="2"/>
      <c r="R24" s="11" t="str">
        <f>HYPERLINK("http://slimages.macys.com/is/image/MCY/15383514 ")</f>
        <v xml:space="preserve">http://slimages.macys.com/is/image/MCY/15383514 </v>
      </c>
    </row>
    <row r="25" spans="1:18" ht="24.75" x14ac:dyDescent="0.25">
      <c r="A25" s="8" t="s">
        <v>2926</v>
      </c>
      <c r="B25" s="2" t="s">
        <v>2927</v>
      </c>
      <c r="C25" s="4">
        <v>2</v>
      </c>
      <c r="D25" s="6">
        <v>8.8699999999999992</v>
      </c>
      <c r="E25" s="6">
        <v>17.739999999999998</v>
      </c>
      <c r="F25" s="9">
        <v>9.99</v>
      </c>
      <c r="G25" s="6">
        <v>19.98</v>
      </c>
      <c r="H25" s="4" t="s">
        <v>2928</v>
      </c>
      <c r="I25" s="2" t="s">
        <v>2026</v>
      </c>
      <c r="J25" s="10"/>
      <c r="K25" s="6"/>
      <c r="L25" s="6"/>
      <c r="M25" s="2" t="s">
        <v>1970</v>
      </c>
      <c r="N25" s="2" t="s">
        <v>2012</v>
      </c>
      <c r="O25" s="2" t="s">
        <v>2196</v>
      </c>
      <c r="P25" s="2" t="s">
        <v>1988</v>
      </c>
      <c r="Q25" s="2"/>
      <c r="R25" s="11" t="str">
        <f>HYPERLINK("http://slimages.macys.com/is/image/MCY/15383514 ")</f>
        <v xml:space="preserve">http://slimages.macys.com/is/image/MCY/15383514 </v>
      </c>
    </row>
    <row r="26" spans="1:18" ht="24.75" x14ac:dyDescent="0.25">
      <c r="A26" s="8" t="s">
        <v>2929</v>
      </c>
      <c r="B26" s="2" t="s">
        <v>2930</v>
      </c>
      <c r="C26" s="4">
        <v>1</v>
      </c>
      <c r="D26" s="6">
        <v>8.44</v>
      </c>
      <c r="E26" s="6">
        <v>8.44</v>
      </c>
      <c r="F26" s="9">
        <v>29.99</v>
      </c>
      <c r="G26" s="6">
        <v>29.99</v>
      </c>
      <c r="H26" s="4" t="s">
        <v>2931</v>
      </c>
      <c r="I26" s="2" t="s">
        <v>2026</v>
      </c>
      <c r="J26" s="10"/>
      <c r="K26" s="6"/>
      <c r="L26" s="6"/>
      <c r="M26" s="2" t="s">
        <v>1970</v>
      </c>
      <c r="N26" s="2" t="s">
        <v>2386</v>
      </c>
      <c r="O26" s="2" t="s">
        <v>2932</v>
      </c>
      <c r="P26" s="2" t="s">
        <v>2933</v>
      </c>
      <c r="Q26" s="2" t="s">
        <v>2095</v>
      </c>
      <c r="R26" s="11" t="str">
        <f>HYPERLINK("http://slimages.macys.com/is/image/MCY/12071637 ")</f>
        <v xml:space="preserve">http://slimages.macys.com/is/image/MCY/12071637 </v>
      </c>
    </row>
    <row r="27" spans="1:18" ht="24.75" x14ac:dyDescent="0.25">
      <c r="A27" s="8" t="s">
        <v>2934</v>
      </c>
      <c r="B27" s="2" t="s">
        <v>2935</v>
      </c>
      <c r="C27" s="4">
        <v>3</v>
      </c>
      <c r="D27" s="6">
        <v>7.81</v>
      </c>
      <c r="E27" s="6">
        <v>23.43</v>
      </c>
      <c r="F27" s="9">
        <v>29.99</v>
      </c>
      <c r="G27" s="6">
        <v>89.97</v>
      </c>
      <c r="H27" s="4" t="s">
        <v>2936</v>
      </c>
      <c r="I27" s="2" t="s">
        <v>2937</v>
      </c>
      <c r="J27" s="10"/>
      <c r="K27" s="6"/>
      <c r="L27" s="6"/>
      <c r="M27" s="2" t="s">
        <v>1970</v>
      </c>
      <c r="N27" s="2" t="s">
        <v>2386</v>
      </c>
      <c r="O27" s="2" t="s">
        <v>2932</v>
      </c>
      <c r="P27" s="2" t="s">
        <v>1988</v>
      </c>
      <c r="Q27" s="2" t="s">
        <v>2095</v>
      </c>
      <c r="R27" s="11" t="str">
        <f>HYPERLINK("http://slimages.macys.com/is/image/MCY/9855045 ")</f>
        <v xml:space="preserve">http://slimages.macys.com/is/image/MCY/9855045 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LotMaintenance 2.xls</vt:lpstr>
      <vt:lpstr>12994646</vt:lpstr>
      <vt:lpstr>12990570</vt:lpstr>
      <vt:lpstr>12976065</vt:lpstr>
      <vt:lpstr>13011840</vt:lpstr>
      <vt:lpstr>12978166</vt:lpstr>
      <vt:lpstr>12976050</vt:lpstr>
      <vt:lpstr>12988392</vt:lpstr>
      <vt:lpstr>13007171</vt:lpstr>
      <vt:lpstr>12976124</vt:lpstr>
      <vt:lpstr>12994425</vt:lpstr>
      <vt:lpstr>12705465</vt:lpstr>
      <vt:lpstr>13012978</vt:lpstr>
      <vt:lpstr>12978126</vt:lpstr>
      <vt:lpstr>12993437</vt:lpstr>
      <vt:lpstr>12999421</vt:lpstr>
      <vt:lpstr>13006904</vt:lpstr>
      <vt:lpstr>13006800</vt:lpstr>
      <vt:lpstr>12704401</vt:lpstr>
      <vt:lpstr>13006795</vt:lpstr>
      <vt:lpstr>12971230</vt:lpstr>
      <vt:lpstr>12971109</vt:lpstr>
      <vt:lpstr>12994002</vt:lpstr>
      <vt:lpstr>12990178</vt:lpstr>
      <vt:lpstr>12971571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2021-01-27T20:52:00Z</dcterms:created>
  <dcterms:modified xsi:type="dcterms:W3CDTF">2021-01-29T09:05:38Z</dcterms:modified>
</cp:coreProperties>
</file>